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\EAEA\2018 NER Tracking Clean Energy Update - Dokumenter\00 2P figurer\"/>
    </mc:Choice>
  </mc:AlternateContent>
  <xr:revisionPtr revIDLastSave="670" documentId="8_{912E1A9B-1E49-42A6-B8FA-D66BDEEF78A2}" xr6:coauthVersionLast="45" xr6:coauthVersionMax="45" xr10:uidLastSave="{C1248641-0465-4BA6-9B49-2E547ECD7742}"/>
  <bookViews>
    <workbookView xWindow="-120" yWindow="-120" windowWidth="29040" windowHeight="15840" activeTab="4" xr2:uid="{0F1185C9-9523-477B-9053-E9AE6A96A889}"/>
  </bookViews>
  <sheets>
    <sheet name="Source overview" sheetId="7" r:id="rId1"/>
    <sheet name="FIG 06.1" sheetId="2" r:id="rId2"/>
    <sheet name="Fig 06.2" sheetId="3" r:id="rId3"/>
    <sheet name="FIG 06.3 FIG 06.4" sheetId="4" r:id="rId4"/>
    <sheet name="FIG 06.5" sheetId="5" r:id="rId5"/>
    <sheet name="2017-2018 ENERGY BALANCE" sheetId="8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48" i="3" l="1"/>
  <c r="R48" i="3"/>
  <c r="S48" i="3"/>
  <c r="T48" i="3"/>
  <c r="U48" i="3"/>
  <c r="Q49" i="3"/>
  <c r="R49" i="3"/>
  <c r="S49" i="3"/>
  <c r="T49" i="3"/>
  <c r="K52" i="3"/>
  <c r="K49" i="3"/>
  <c r="K48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C12" i="3"/>
  <c r="V48" i="3" l="1"/>
  <c r="W48" i="3"/>
  <c r="O66" i="2"/>
  <c r="L4" i="5" l="1"/>
  <c r="M4" i="5"/>
  <c r="M79" i="5"/>
  <c r="L82" i="5"/>
  <c r="L78" i="5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AX31" i="8"/>
  <c r="AY31" i="8"/>
  <c r="AZ31" i="8"/>
  <c r="BA31" i="8"/>
  <c r="BB31" i="8"/>
  <c r="BC31" i="8"/>
  <c r="BD31" i="8"/>
  <c r="BE31" i="8"/>
  <c r="BF31" i="8"/>
  <c r="BG31" i="8"/>
  <c r="BH31" i="8"/>
  <c r="BI31" i="8"/>
  <c r="BJ31" i="8"/>
  <c r="BK31" i="8"/>
  <c r="BL31" i="8"/>
  <c r="BM31" i="8"/>
  <c r="BN31" i="8"/>
  <c r="BO31" i="8"/>
  <c r="BP31" i="8"/>
  <c r="BQ31" i="8"/>
  <c r="BR31" i="8"/>
  <c r="BS31" i="8"/>
  <c r="BT31" i="8"/>
  <c r="BU31" i="8"/>
  <c r="BV31" i="8"/>
  <c r="BW31" i="8"/>
  <c r="BX31" i="8"/>
  <c r="BY31" i="8"/>
  <c r="BZ31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AY32" i="8"/>
  <c r="AZ32" i="8"/>
  <c r="BA32" i="8"/>
  <c r="BB32" i="8"/>
  <c r="BC32" i="8"/>
  <c r="BD32" i="8"/>
  <c r="BE32" i="8"/>
  <c r="BF32" i="8"/>
  <c r="BG32" i="8"/>
  <c r="BH32" i="8"/>
  <c r="BI32" i="8"/>
  <c r="BJ32" i="8"/>
  <c r="BK32" i="8"/>
  <c r="BL32" i="8"/>
  <c r="BM32" i="8"/>
  <c r="BN32" i="8"/>
  <c r="BO32" i="8"/>
  <c r="BP32" i="8"/>
  <c r="BQ32" i="8"/>
  <c r="BR32" i="8"/>
  <c r="BS32" i="8"/>
  <c r="BT32" i="8"/>
  <c r="BU32" i="8"/>
  <c r="BV32" i="8"/>
  <c r="BW32" i="8"/>
  <c r="BX32" i="8"/>
  <c r="BY32" i="8"/>
  <c r="BZ32" i="8"/>
  <c r="J34" i="8"/>
  <c r="L81" i="5" s="1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BB34" i="8"/>
  <c r="BC34" i="8"/>
  <c r="BD34" i="8"/>
  <c r="BE34" i="8"/>
  <c r="BF34" i="8"/>
  <c r="BG34" i="8"/>
  <c r="BH34" i="8"/>
  <c r="BI34" i="8"/>
  <c r="BJ34" i="8"/>
  <c r="BK34" i="8"/>
  <c r="BL34" i="8"/>
  <c r="BM34" i="8"/>
  <c r="BN34" i="8"/>
  <c r="BO34" i="8"/>
  <c r="BP34" i="8"/>
  <c r="BQ34" i="8"/>
  <c r="BR34" i="8"/>
  <c r="BS34" i="8"/>
  <c r="BT34" i="8"/>
  <c r="BU34" i="8"/>
  <c r="BV34" i="8"/>
  <c r="BW34" i="8"/>
  <c r="BX34" i="8"/>
  <c r="BY34" i="8"/>
  <c r="BZ34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AY35" i="8"/>
  <c r="AZ35" i="8"/>
  <c r="BA35" i="8"/>
  <c r="BB35" i="8"/>
  <c r="BC35" i="8"/>
  <c r="BD35" i="8"/>
  <c r="BE35" i="8"/>
  <c r="BF35" i="8"/>
  <c r="BG35" i="8"/>
  <c r="BH35" i="8"/>
  <c r="BI35" i="8"/>
  <c r="BJ35" i="8"/>
  <c r="BK35" i="8"/>
  <c r="BL35" i="8"/>
  <c r="BM35" i="8"/>
  <c r="BN35" i="8"/>
  <c r="BO35" i="8"/>
  <c r="BP35" i="8"/>
  <c r="BQ35" i="8"/>
  <c r="BR35" i="8"/>
  <c r="BS35" i="8"/>
  <c r="BT35" i="8"/>
  <c r="BU35" i="8"/>
  <c r="BV35" i="8"/>
  <c r="BW35" i="8"/>
  <c r="BX35" i="8"/>
  <c r="BY35" i="8"/>
  <c r="BZ35" i="8"/>
  <c r="J33" i="8"/>
  <c r="L80" i="5" s="1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AX33" i="8"/>
  <c r="AY33" i="8"/>
  <c r="AZ33" i="8"/>
  <c r="BA33" i="8"/>
  <c r="BB33" i="8"/>
  <c r="BC33" i="8"/>
  <c r="BD33" i="8"/>
  <c r="BE33" i="8"/>
  <c r="BF33" i="8"/>
  <c r="BG33" i="8"/>
  <c r="BH33" i="8"/>
  <c r="BI33" i="8"/>
  <c r="BJ33" i="8"/>
  <c r="BK33" i="8"/>
  <c r="BL33" i="8"/>
  <c r="BM33" i="8"/>
  <c r="BN33" i="8"/>
  <c r="BO33" i="8"/>
  <c r="BP33" i="8"/>
  <c r="BQ33" i="8"/>
  <c r="BR33" i="8"/>
  <c r="BS33" i="8"/>
  <c r="BT33" i="8"/>
  <c r="BU33" i="8"/>
  <c r="BV33" i="8"/>
  <c r="BW33" i="8"/>
  <c r="BX33" i="8"/>
  <c r="BY33" i="8"/>
  <c r="BZ33" i="8"/>
  <c r="I32" i="8"/>
  <c r="L65" i="5" s="1"/>
  <c r="I34" i="8"/>
  <c r="L67" i="5" s="1"/>
  <c r="I35" i="8"/>
  <c r="L68" i="5" s="1"/>
  <c r="I33" i="8"/>
  <c r="L66" i="5" s="1"/>
  <c r="I31" i="8"/>
  <c r="J13" i="8"/>
  <c r="M78" i="5" s="1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AU13" i="8"/>
  <c r="AV13" i="8"/>
  <c r="AW13" i="8"/>
  <c r="AX13" i="8"/>
  <c r="AY13" i="8"/>
  <c r="AZ13" i="8"/>
  <c r="BA13" i="8"/>
  <c r="BB13" i="8"/>
  <c r="BC13" i="8"/>
  <c r="BD13" i="8"/>
  <c r="BE13" i="8"/>
  <c r="BF13" i="8"/>
  <c r="BG13" i="8"/>
  <c r="BH13" i="8"/>
  <c r="BI13" i="8"/>
  <c r="BJ13" i="8"/>
  <c r="BK13" i="8"/>
  <c r="BL13" i="8"/>
  <c r="BM13" i="8"/>
  <c r="BN13" i="8"/>
  <c r="BO13" i="8"/>
  <c r="BP13" i="8"/>
  <c r="BQ13" i="8"/>
  <c r="BR13" i="8"/>
  <c r="BS13" i="8"/>
  <c r="BT13" i="8"/>
  <c r="BU13" i="8"/>
  <c r="BV13" i="8"/>
  <c r="BW13" i="8"/>
  <c r="BX13" i="8"/>
  <c r="BY13" i="8"/>
  <c r="BZ13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AV14" i="8"/>
  <c r="AW14" i="8"/>
  <c r="AX14" i="8"/>
  <c r="AY14" i="8"/>
  <c r="AZ14" i="8"/>
  <c r="BA14" i="8"/>
  <c r="BB14" i="8"/>
  <c r="BC14" i="8"/>
  <c r="BD14" i="8"/>
  <c r="BE14" i="8"/>
  <c r="BF14" i="8"/>
  <c r="BG14" i="8"/>
  <c r="BH14" i="8"/>
  <c r="BI14" i="8"/>
  <c r="BJ14" i="8"/>
  <c r="BK14" i="8"/>
  <c r="BL14" i="8"/>
  <c r="BM14" i="8"/>
  <c r="BN14" i="8"/>
  <c r="BO14" i="8"/>
  <c r="BP14" i="8"/>
  <c r="BQ14" i="8"/>
  <c r="BR14" i="8"/>
  <c r="BS14" i="8"/>
  <c r="BT14" i="8"/>
  <c r="BU14" i="8"/>
  <c r="BV14" i="8"/>
  <c r="BW14" i="8"/>
  <c r="BX14" i="8"/>
  <c r="BY14" i="8"/>
  <c r="BZ14" i="8"/>
  <c r="J16" i="8"/>
  <c r="M81" i="5" s="1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K16" i="8"/>
  <c r="AL16" i="8"/>
  <c r="AM16" i="8"/>
  <c r="AN16" i="8"/>
  <c r="AO16" i="8"/>
  <c r="AP16" i="8"/>
  <c r="AQ16" i="8"/>
  <c r="AR16" i="8"/>
  <c r="AS16" i="8"/>
  <c r="AT16" i="8"/>
  <c r="AU16" i="8"/>
  <c r="AV16" i="8"/>
  <c r="AW16" i="8"/>
  <c r="AX16" i="8"/>
  <c r="AY16" i="8"/>
  <c r="AZ16" i="8"/>
  <c r="BA16" i="8"/>
  <c r="BB16" i="8"/>
  <c r="BC16" i="8"/>
  <c r="BD16" i="8"/>
  <c r="BE16" i="8"/>
  <c r="BF16" i="8"/>
  <c r="BG16" i="8"/>
  <c r="BH16" i="8"/>
  <c r="BI16" i="8"/>
  <c r="BJ16" i="8"/>
  <c r="BK16" i="8"/>
  <c r="BL16" i="8"/>
  <c r="BM16" i="8"/>
  <c r="BN16" i="8"/>
  <c r="BO16" i="8"/>
  <c r="BP16" i="8"/>
  <c r="BQ16" i="8"/>
  <c r="BR16" i="8"/>
  <c r="BS16" i="8"/>
  <c r="BT16" i="8"/>
  <c r="BU16" i="8"/>
  <c r="BV16" i="8"/>
  <c r="BW16" i="8"/>
  <c r="BX16" i="8"/>
  <c r="BY16" i="8"/>
  <c r="BZ16" i="8"/>
  <c r="J17" i="8"/>
  <c r="M82" i="5" s="1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AI17" i="8"/>
  <c r="AJ17" i="8"/>
  <c r="AK17" i="8"/>
  <c r="AL17" i="8"/>
  <c r="AM17" i="8"/>
  <c r="AN17" i="8"/>
  <c r="AO17" i="8"/>
  <c r="AP17" i="8"/>
  <c r="AQ17" i="8"/>
  <c r="AR17" i="8"/>
  <c r="AS17" i="8"/>
  <c r="AT17" i="8"/>
  <c r="AU17" i="8"/>
  <c r="AV17" i="8"/>
  <c r="AW17" i="8"/>
  <c r="AX17" i="8"/>
  <c r="AY17" i="8"/>
  <c r="AZ17" i="8"/>
  <c r="BA17" i="8"/>
  <c r="BB17" i="8"/>
  <c r="BC17" i="8"/>
  <c r="BD17" i="8"/>
  <c r="BE17" i="8"/>
  <c r="BF17" i="8"/>
  <c r="BG17" i="8"/>
  <c r="BH17" i="8"/>
  <c r="BI17" i="8"/>
  <c r="BJ17" i="8"/>
  <c r="BK17" i="8"/>
  <c r="BL17" i="8"/>
  <c r="BM17" i="8"/>
  <c r="BN17" i="8"/>
  <c r="BO17" i="8"/>
  <c r="BP17" i="8"/>
  <c r="BQ17" i="8"/>
  <c r="BR17" i="8"/>
  <c r="BS17" i="8"/>
  <c r="BT17" i="8"/>
  <c r="BU17" i="8"/>
  <c r="BV17" i="8"/>
  <c r="BW17" i="8"/>
  <c r="BX17" i="8"/>
  <c r="BY17" i="8"/>
  <c r="BZ17" i="8"/>
  <c r="J15" i="8"/>
  <c r="M80" i="5" s="1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BC15" i="8"/>
  <c r="BD15" i="8"/>
  <c r="BE15" i="8"/>
  <c r="BF15" i="8"/>
  <c r="BG15" i="8"/>
  <c r="BH15" i="8"/>
  <c r="BI15" i="8"/>
  <c r="BJ15" i="8"/>
  <c r="BK15" i="8"/>
  <c r="BL15" i="8"/>
  <c r="BM15" i="8"/>
  <c r="BN15" i="8"/>
  <c r="BO15" i="8"/>
  <c r="BP15" i="8"/>
  <c r="BQ15" i="8"/>
  <c r="BR15" i="8"/>
  <c r="BS15" i="8"/>
  <c r="BT15" i="8"/>
  <c r="BU15" i="8"/>
  <c r="BV15" i="8"/>
  <c r="BW15" i="8"/>
  <c r="BX15" i="8"/>
  <c r="BY15" i="8"/>
  <c r="BZ15" i="8"/>
  <c r="I14" i="8"/>
  <c r="M65" i="5" s="1"/>
  <c r="I16" i="8"/>
  <c r="M67" i="5" s="1"/>
  <c r="I17" i="8"/>
  <c r="M68" i="5" s="1"/>
  <c r="I15" i="8"/>
  <c r="M66" i="5" s="1"/>
  <c r="I13" i="8"/>
  <c r="M9" i="5" l="1"/>
  <c r="L11" i="5"/>
  <c r="L5" i="5"/>
  <c r="M11" i="5"/>
  <c r="L9" i="5"/>
  <c r="L7" i="5"/>
  <c r="L10" i="5"/>
  <c r="L6" i="5"/>
  <c r="M10" i="5"/>
  <c r="M6" i="5"/>
  <c r="M8" i="5"/>
  <c r="M7" i="5"/>
  <c r="I36" i="8"/>
  <c r="I18" i="8"/>
  <c r="L8" i="5"/>
  <c r="L79" i="5"/>
  <c r="L64" i="5"/>
  <c r="M5" i="5"/>
  <c r="M64" i="5"/>
  <c r="U9" i="3"/>
  <c r="U8" i="3"/>
  <c r="U7" i="3"/>
  <c r="U6" i="3"/>
  <c r="U5" i="3"/>
  <c r="U4" i="3"/>
  <c r="U41" i="3"/>
  <c r="U40" i="3"/>
  <c r="U39" i="3"/>
  <c r="U50" i="3" s="1"/>
  <c r="U38" i="3"/>
  <c r="U37" i="3"/>
  <c r="M13" i="5" l="1"/>
  <c r="L13" i="5"/>
  <c r="U47" i="3"/>
  <c r="U45" i="3"/>
  <c r="U42" i="3"/>
  <c r="U52" i="3" s="1"/>
  <c r="B7" i="5"/>
  <c r="V52" i="3" l="1"/>
  <c r="W52" i="3"/>
  <c r="G57" i="2"/>
  <c r="M249" i="5"/>
  <c r="M248" i="5"/>
  <c r="M247" i="5"/>
  <c r="M246" i="5"/>
  <c r="M245" i="5"/>
  <c r="K5" i="5"/>
  <c r="K6" i="5"/>
  <c r="K7" i="5"/>
  <c r="O7" i="5" s="1"/>
  <c r="K8" i="5"/>
  <c r="K9" i="5"/>
  <c r="K10" i="5"/>
  <c r="B5" i="5"/>
  <c r="B6" i="5"/>
  <c r="B8" i="5"/>
  <c r="B9" i="5"/>
  <c r="O9" i="5" s="1"/>
  <c r="B10" i="5"/>
  <c r="O10" i="5" s="1"/>
  <c r="J5" i="5"/>
  <c r="J6" i="5"/>
  <c r="J7" i="5"/>
  <c r="J8" i="5"/>
  <c r="J9" i="5"/>
  <c r="J10" i="5"/>
  <c r="I5" i="5"/>
  <c r="I6" i="5"/>
  <c r="I7" i="5"/>
  <c r="I8" i="5"/>
  <c r="I9" i="5"/>
  <c r="I10" i="5"/>
  <c r="H5" i="5"/>
  <c r="H6" i="5"/>
  <c r="H7" i="5"/>
  <c r="H8" i="5"/>
  <c r="H9" i="5"/>
  <c r="H10" i="5"/>
  <c r="G5" i="5"/>
  <c r="G6" i="5"/>
  <c r="G7" i="5"/>
  <c r="G8" i="5"/>
  <c r="G9" i="5"/>
  <c r="G10" i="5"/>
  <c r="F5" i="5"/>
  <c r="F6" i="5"/>
  <c r="F7" i="5"/>
  <c r="F8" i="5"/>
  <c r="F9" i="5"/>
  <c r="F10" i="5"/>
  <c r="E5" i="5"/>
  <c r="E6" i="5"/>
  <c r="E7" i="5"/>
  <c r="E8" i="5"/>
  <c r="E9" i="5"/>
  <c r="E10" i="5"/>
  <c r="D5" i="5"/>
  <c r="D6" i="5"/>
  <c r="D7" i="5"/>
  <c r="D8" i="5"/>
  <c r="D9" i="5"/>
  <c r="D10" i="5"/>
  <c r="C5" i="5"/>
  <c r="C6" i="5"/>
  <c r="C7" i="5"/>
  <c r="C8" i="5"/>
  <c r="C9" i="5"/>
  <c r="C10" i="5"/>
  <c r="K11" i="5"/>
  <c r="B11" i="5"/>
  <c r="J11" i="5"/>
  <c r="I11" i="5"/>
  <c r="H11" i="5"/>
  <c r="G11" i="5"/>
  <c r="F11" i="5"/>
  <c r="E11" i="5"/>
  <c r="D11" i="5"/>
  <c r="C11" i="5"/>
  <c r="K4" i="5"/>
  <c r="J4" i="5"/>
  <c r="I4" i="5"/>
  <c r="H4" i="5"/>
  <c r="G4" i="5"/>
  <c r="F4" i="5"/>
  <c r="E4" i="5"/>
  <c r="D4" i="5"/>
  <c r="C4" i="5"/>
  <c r="B4" i="5"/>
  <c r="M18" i="4"/>
  <c r="M24" i="4"/>
  <c r="M30" i="4"/>
  <c r="M36" i="4"/>
  <c r="L18" i="4"/>
  <c r="L24" i="4"/>
  <c r="L30" i="4"/>
  <c r="L36" i="4"/>
  <c r="K18" i="4"/>
  <c r="K24" i="4"/>
  <c r="K30" i="4"/>
  <c r="K36" i="4"/>
  <c r="J18" i="4"/>
  <c r="J24" i="4"/>
  <c r="J30" i="4"/>
  <c r="J36" i="4"/>
  <c r="I18" i="4"/>
  <c r="I24" i="4"/>
  <c r="I30" i="4"/>
  <c r="I36" i="4"/>
  <c r="H18" i="4"/>
  <c r="H24" i="4"/>
  <c r="H30" i="4"/>
  <c r="H36" i="4"/>
  <c r="G18" i="4"/>
  <c r="G24" i="4"/>
  <c r="G30" i="4"/>
  <c r="G36" i="4"/>
  <c r="F18" i="4"/>
  <c r="F24" i="4"/>
  <c r="F30" i="4"/>
  <c r="F36" i="4"/>
  <c r="E18" i="4"/>
  <c r="E24" i="4"/>
  <c r="E30" i="4"/>
  <c r="E36" i="4"/>
  <c r="D18" i="4"/>
  <c r="D24" i="4"/>
  <c r="D30" i="4"/>
  <c r="D36" i="4"/>
  <c r="T36" i="3"/>
  <c r="T39" i="3" s="1"/>
  <c r="T50" i="3" s="1"/>
  <c r="T31" i="3"/>
  <c r="K41" i="3"/>
  <c r="K31" i="3"/>
  <c r="T32" i="3"/>
  <c r="U32" i="3" s="1"/>
  <c r="U51" i="3" s="1"/>
  <c r="K37" i="3"/>
  <c r="K45" i="3" s="1"/>
  <c r="W45" i="3" s="1"/>
  <c r="K38" i="3"/>
  <c r="K47" i="3" s="1"/>
  <c r="K39" i="3"/>
  <c r="K50" i="3" s="1"/>
  <c r="K26" i="3"/>
  <c r="K19" i="3" s="1"/>
  <c r="K40" i="3"/>
  <c r="K32" i="3"/>
  <c r="S36" i="3"/>
  <c r="S37" i="3" s="1"/>
  <c r="S45" i="3" s="1"/>
  <c r="S31" i="3"/>
  <c r="S32" i="3"/>
  <c r="R36" i="3"/>
  <c r="R37" i="3" s="1"/>
  <c r="R45" i="3" s="1"/>
  <c r="R31" i="3"/>
  <c r="R32" i="3"/>
  <c r="P36" i="3"/>
  <c r="P37" i="3" s="1"/>
  <c r="Q36" i="3"/>
  <c r="Q41" i="3" s="1"/>
  <c r="Q31" i="3"/>
  <c r="Q29" i="3" s="1"/>
  <c r="Q21" i="3"/>
  <c r="Q25" i="3"/>
  <c r="Q26" i="3"/>
  <c r="Q32" i="3"/>
  <c r="K36" i="3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B1" i="2"/>
  <c r="C13" i="5" l="1"/>
  <c r="O6" i="5"/>
  <c r="Q46" i="3"/>
  <c r="O11" i="5"/>
  <c r="O8" i="5"/>
  <c r="E13" i="5"/>
  <c r="R29" i="3"/>
  <c r="R46" i="3"/>
  <c r="K29" i="3"/>
  <c r="K46" i="3"/>
  <c r="W47" i="3"/>
  <c r="V47" i="3"/>
  <c r="H39" i="4"/>
  <c r="V45" i="3"/>
  <c r="S29" i="3"/>
  <c r="S46" i="3"/>
  <c r="W50" i="3"/>
  <c r="V50" i="3"/>
  <c r="M39" i="4"/>
  <c r="K51" i="3"/>
  <c r="W51" i="3" s="1"/>
  <c r="U31" i="3"/>
  <c r="U46" i="3" s="1"/>
  <c r="T46" i="3"/>
  <c r="F39" i="4"/>
  <c r="J39" i="4"/>
  <c r="H13" i="5"/>
  <c r="T42" i="3"/>
  <c r="T52" i="3" s="1"/>
  <c r="C55" i="2"/>
  <c r="T41" i="3"/>
  <c r="G55" i="2"/>
  <c r="G54" i="2"/>
  <c r="T29" i="3"/>
  <c r="U29" i="3" s="1"/>
  <c r="U30" i="3" s="1"/>
  <c r="S42" i="3"/>
  <c r="S52" i="3" s="1"/>
  <c r="S39" i="3"/>
  <c r="S50" i="3" s="1"/>
  <c r="R40" i="3"/>
  <c r="R51" i="3" s="1"/>
  <c r="P40" i="3"/>
  <c r="S41" i="3"/>
  <c r="P41" i="3"/>
  <c r="T37" i="3"/>
  <c r="T45" i="3" s="1"/>
  <c r="K53" i="3"/>
  <c r="G39" i="4"/>
  <c r="G13" i="5"/>
  <c r="P38" i="3"/>
  <c r="P42" i="3"/>
  <c r="S40" i="3"/>
  <c r="S51" i="3" s="1"/>
  <c r="S38" i="3"/>
  <c r="S47" i="3" s="1"/>
  <c r="E39" i="4"/>
  <c r="K39" i="4"/>
  <c r="D13" i="5"/>
  <c r="J13" i="5"/>
  <c r="B13" i="5"/>
  <c r="L39" i="4"/>
  <c r="P39" i="3"/>
  <c r="D39" i="4"/>
  <c r="I39" i="4"/>
  <c r="F13" i="5"/>
  <c r="I13" i="5"/>
  <c r="Q42" i="3"/>
  <c r="Q52" i="3" s="1"/>
  <c r="Q40" i="3"/>
  <c r="Q51" i="3" s="1"/>
  <c r="T40" i="3"/>
  <c r="T51" i="3" s="1"/>
  <c r="T38" i="3"/>
  <c r="T47" i="3" s="1"/>
  <c r="Q37" i="3"/>
  <c r="Q45" i="3" s="1"/>
  <c r="K13" i="5"/>
  <c r="O13" i="5" s="1"/>
  <c r="R42" i="3"/>
  <c r="R52" i="3" s="1"/>
  <c r="R41" i="3"/>
  <c r="Q39" i="3"/>
  <c r="Q50" i="3" s="1"/>
  <c r="Q38" i="3"/>
  <c r="Q47" i="3" s="1"/>
  <c r="R39" i="3"/>
  <c r="R50" i="3" s="1"/>
  <c r="R38" i="3"/>
  <c r="R47" i="3" s="1"/>
  <c r="V51" i="3" l="1"/>
  <c r="V46" i="3"/>
  <c r="W46" i="3"/>
  <c r="G56" i="2"/>
  <c r="U49" i="3"/>
  <c r="D57" i="2"/>
  <c r="F55" i="2"/>
  <c r="E57" i="2"/>
  <c r="C57" i="2"/>
  <c r="D56" i="2"/>
  <c r="F57" i="2"/>
  <c r="E54" i="2"/>
  <c r="E55" i="2"/>
  <c r="E56" i="2"/>
  <c r="C56" i="2"/>
  <c r="F56" i="2"/>
  <c r="F54" i="2"/>
  <c r="D54" i="2"/>
  <c r="D55" i="2"/>
  <c r="C54" i="2"/>
  <c r="V31" i="3"/>
  <c r="W49" i="3" l="1"/>
  <c r="V49" i="3"/>
  <c r="U53" i="3"/>
  <c r="V53" i="3" s="1"/>
  <c r="T53" i="3"/>
  <c r="Q53" i="3"/>
  <c r="S53" i="3"/>
  <c r="R53" i="3"/>
</calcChain>
</file>

<file path=xl/sharedStrings.xml><?xml version="1.0" encoding="utf-8"?>
<sst xmlns="http://schemas.openxmlformats.org/spreadsheetml/2006/main" count="1366" uniqueCount="233">
  <si>
    <t>Please reference all figures as: 'International Energy Agency / Nordic Energy Research (2016), Nordic Energy Technology Perspectives 2016'</t>
  </si>
  <si>
    <t>Chapter</t>
  </si>
  <si>
    <t>Figure number</t>
  </si>
  <si>
    <t>Figure title</t>
  </si>
  <si>
    <t>Heat production in DH networks</t>
  </si>
  <si>
    <t>Key point</t>
  </si>
  <si>
    <t>A dwindling demand for district heat, coupled with the increasing attractiveness of district-scale heat pumps, constrains new CHP capacity in the 2DS/CNS.</t>
  </si>
  <si>
    <t>Notes</t>
  </si>
  <si>
    <t>Sources</t>
  </si>
  <si>
    <t>Labels</t>
  </si>
  <si>
    <t>Primary y axis</t>
  </si>
  <si>
    <t>TWh</t>
  </si>
  <si>
    <t>Secondary y axis</t>
  </si>
  <si>
    <t>Low-carbon share</t>
  </si>
  <si>
    <t>Primary x axis</t>
  </si>
  <si>
    <t>bottom axis label</t>
  </si>
  <si>
    <t>Secondary x axis</t>
  </si>
  <si>
    <t>top axis label</t>
  </si>
  <si>
    <t>FIGURE</t>
  </si>
  <si>
    <t>SIMPLIFIED FIGURE</t>
  </si>
  <si>
    <t>DATA</t>
  </si>
  <si>
    <t>LEFT graph</t>
  </si>
  <si>
    <t>Oil</t>
  </si>
  <si>
    <t>Coal</t>
  </si>
  <si>
    <t>Natural gas</t>
  </si>
  <si>
    <t>Biomass and Waste</t>
  </si>
  <si>
    <t>Geothermal</t>
  </si>
  <si>
    <t>Electricity</t>
  </si>
  <si>
    <t>Other</t>
  </si>
  <si>
    <t>Fossil</t>
  </si>
  <si>
    <t>RE and waste</t>
  </si>
  <si>
    <t>Norway</t>
  </si>
  <si>
    <t>Total</t>
  </si>
  <si>
    <t>Waste</t>
  </si>
  <si>
    <t>Bio fuels</t>
  </si>
  <si>
    <t>Power</t>
  </si>
  <si>
    <t>Fossil fuels</t>
  </si>
  <si>
    <t>Surplus heat</t>
  </si>
  <si>
    <t>Finland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</si>
  <si>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</si>
  <si>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</si>
  <si>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</si>
  <si>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</si>
  <si>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</si>
  <si>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</si>
  <si>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</si>
  <si>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</si>
  <si>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</si>
  <si>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2014</t>
  </si>
  <si>
    <t>2015</t>
  </si>
  <si>
    <t>2016</t>
  </si>
  <si>
    <t>2017</t>
  </si>
  <si>
    <t>2009</t>
  </si>
  <si>
    <t>2010</t>
  </si>
  <si>
    <t>2011</t>
  </si>
  <si>
    <t>2012</t>
  </si>
  <si>
    <t>2013</t>
  </si>
  <si>
    <t>Renewables</t>
  </si>
  <si>
    <t xml:space="preserve">Other </t>
  </si>
  <si>
    <t>Denmark</t>
  </si>
  <si>
    <t>Solar</t>
  </si>
  <si>
    <t>Iceland</t>
  </si>
  <si>
    <t>Kilde:https://www.scb.se/hitta-statistik/statistik-efter-amne/energi/tillforsel-och-anvandning-av-energi/arlig-energistatistik-el-gas-och-fjarrvarme/</t>
  </si>
  <si>
    <t>Sweden</t>
  </si>
  <si>
    <t>Nordic</t>
  </si>
  <si>
    <t>Electric boilers and heat pumps</t>
  </si>
  <si>
    <t>Total Nordic</t>
  </si>
  <si>
    <t>Biomass</t>
  </si>
  <si>
    <t>Units sold per 1000 households</t>
  </si>
  <si>
    <t>Units installed per 1000 households</t>
  </si>
  <si>
    <t>Units sld</t>
  </si>
  <si>
    <t xml:space="preserve">Sweden </t>
  </si>
  <si>
    <t>Reversible air-air w/ heating</t>
  </si>
  <si>
    <t>H-ground/water</t>
  </si>
  <si>
    <t>Exhaust air</t>
  </si>
  <si>
    <t>Sanitary hot water</t>
  </si>
  <si>
    <t>H-air/water</t>
  </si>
  <si>
    <t>NORDIC</t>
  </si>
  <si>
    <t xml:space="preserve">Total </t>
  </si>
  <si>
    <t>Coal/peat</t>
  </si>
  <si>
    <t>Gas</t>
  </si>
  <si>
    <t>District heat</t>
  </si>
  <si>
    <t>Complete energy balances - annual data [nrg_110a]</t>
  </si>
  <si>
    <t>Last update</t>
  </si>
  <si>
    <t>Extracted on</t>
  </si>
  <si>
    <t>Source of data</t>
  </si>
  <si>
    <t>Eurostat</t>
  </si>
  <si>
    <t>Special value:</t>
  </si>
  <si>
    <t>:</t>
  </si>
  <si>
    <t>not available</t>
  </si>
  <si>
    <t>UNIT</t>
  </si>
  <si>
    <t>Terajoule</t>
  </si>
  <si>
    <t>PRODUCT</t>
  </si>
  <si>
    <t>All products</t>
  </si>
  <si>
    <t>INDIC_NRG</t>
  </si>
  <si>
    <t>Gross inland consumption</t>
  </si>
  <si>
    <t>GEO/TIME</t>
  </si>
  <si>
    <t>Residential</t>
  </si>
  <si>
    <t>Solid fuels</t>
  </si>
  <si>
    <t>Other Bituminous Coal</t>
  </si>
  <si>
    <t>Peat</t>
  </si>
  <si>
    <t>Total petroleum products</t>
  </si>
  <si>
    <t>Liquified petroleum gas (LPG)</t>
  </si>
  <si>
    <t>Gasoline (without bio components)</t>
  </si>
  <si>
    <t>Other kerosene</t>
  </si>
  <si>
    <t>Gas/diesel oil (without bio components)</t>
  </si>
  <si>
    <t>Total fuel oil</t>
  </si>
  <si>
    <t>Derived heat</t>
  </si>
  <si>
    <t>Renewable energies</t>
  </si>
  <si>
    <t>Solar thermal</t>
  </si>
  <si>
    <t>Solid biofuels (excluding charcoal)</t>
  </si>
  <si>
    <t>Biogas</t>
  </si>
  <si>
    <t>Biogasoline</t>
  </si>
  <si>
    <t>Biodiesels</t>
  </si>
  <si>
    <t>Other liquid biofuels</t>
  </si>
  <si>
    <t>Geothermal Energy</t>
  </si>
  <si>
    <t>Electrical energy</t>
  </si>
  <si>
    <t>Simplified Figure Data</t>
  </si>
  <si>
    <t>Intro</t>
  </si>
  <si>
    <t>NETP inspired</t>
  </si>
  <si>
    <t>No.</t>
  </si>
  <si>
    <t>Figure</t>
  </si>
  <si>
    <t>Text</t>
  </si>
  <si>
    <t>Electrification of heat</t>
  </si>
  <si>
    <t>Modified NETP 2016 1.20</t>
  </si>
  <si>
    <t>https://www.friotherm.com/wp-content/uploads/2017/11/vaertan_e008_uk.pdf</t>
  </si>
  <si>
    <t>Photo: Friotherm Sea water heat pump</t>
  </si>
  <si>
    <t>Nordic district heat generation in the CNS</t>
  </si>
  <si>
    <t>%RE in heating and cooling</t>
  </si>
  <si>
    <t>Nordic Statistics Database</t>
  </si>
  <si>
    <t>The share of renewables in the gross final energy consumption.</t>
  </si>
  <si>
    <t>Opvarmningsformer DK</t>
  </si>
  <si>
    <t>Danmarks Statistik</t>
  </si>
  <si>
    <t>Bygninger og deres opvarmede areal efter område, enhed, opvarmingsform og tid</t>
  </si>
  <si>
    <t>Energy for heating FI</t>
  </si>
  <si>
    <t>Statistics Finland</t>
  </si>
  <si>
    <t>Energy sources for heating residential, commercial and public buildings</t>
  </si>
  <si>
    <t>Heat pumps FI</t>
  </si>
  <si>
    <t>Heat pumps of residential, commercial and public buildings</t>
  </si>
  <si>
    <t>https://www.energiforetagen.se/statistik/fjarrvarmestatistik/tillford-energi/</t>
  </si>
  <si>
    <t>Sweden DH</t>
  </si>
  <si>
    <t>http://www.stats.ehpa.org/hp_sales/story_sales/</t>
  </si>
  <si>
    <t>Statistics from European Heat Pump Association</t>
  </si>
  <si>
    <t>https://ec.europa.eu/eurostat/</t>
  </si>
  <si>
    <t>Eurostat, Complete energy balances - annual data [nrg_110a]</t>
  </si>
  <si>
    <t>https://www.scb.se/hitta-statistik/statistik-efter-amne/energi/tillforsel-och-anvandning-av-energi/arlig-energistatistik-el-gas-och-fjarrvarme/pong/publikationer/el--gas--och-fjarrvarmeforsorjningen-2017/?publobjid=91917 </t>
  </si>
  <si>
    <t>https://www.ssb.no/statbank/table/11557/tableViewLayout1/ </t>
  </si>
  <si>
    <t>https://ens.dk/sites/ens.dk/files/Statistik/pub2017dk.pdf  </t>
  </si>
  <si>
    <t>http://pxnet2.stat.fi/PXWeb/pxweb/en/StatFin/StatFin__ene__ehk/statfin_ehk_pxt_012_en.px/table/tableViewLayout1/  </t>
  </si>
  <si>
    <t>https://nea.is/the-national-energy-authority/energy-data/data-repository/  </t>
  </si>
  <si>
    <t>Swedish Stastistics, Norwegian Statistisc, Finnish Statistics, Islandic Energy Agency, Danish Energy Agency</t>
  </si>
  <si>
    <t>2018</t>
  </si>
  <si>
    <t>Data not explictely available for DH</t>
  </si>
  <si>
    <t>Source: https://orkustofnun.is/gogn/Talnaefni/OS-2019-T012-01.pdf</t>
  </si>
  <si>
    <t>UPDATED WITH 2018 ENERGY BALANCE</t>
  </si>
  <si>
    <t>ktoe</t>
  </si>
  <si>
    <t>Solid fossil fuels</t>
  </si>
  <si>
    <t>Anthracite</t>
  </si>
  <si>
    <t>Coking coal</t>
  </si>
  <si>
    <t>Other bituminous coal</t>
  </si>
  <si>
    <t>Sub-bituminous coal</t>
  </si>
  <si>
    <t>Lignite</t>
  </si>
  <si>
    <t>Patent fuel</t>
  </si>
  <si>
    <t>Coke oven coke</t>
  </si>
  <si>
    <t>Gas coke</t>
  </si>
  <si>
    <t>Coal tar</t>
  </si>
  <si>
    <t>Brown coal briquettes</t>
  </si>
  <si>
    <t>Manufactured gases</t>
  </si>
  <si>
    <t>Gas works gas</t>
  </si>
  <si>
    <t>Coke oven gas</t>
  </si>
  <si>
    <t>Blast furnace gas</t>
  </si>
  <si>
    <t>Other recovered gases</t>
  </si>
  <si>
    <t>Peat and peat products</t>
  </si>
  <si>
    <t>Peat products</t>
  </si>
  <si>
    <t>Oil shale and oil sands</t>
  </si>
  <si>
    <t>Oil and petroleum products</t>
  </si>
  <si>
    <t>Crude oil</t>
  </si>
  <si>
    <t>Natural gas liquids</t>
  </si>
  <si>
    <t>Refinery feedstocks</t>
  </si>
  <si>
    <t>Additives and oxygenates (excluding biofuel portion)</t>
  </si>
  <si>
    <t>Other hydrocarbons</t>
  </si>
  <si>
    <t>Refinery gas</t>
  </si>
  <si>
    <t>Ethane</t>
  </si>
  <si>
    <t>Liquefied petroleum gases</t>
  </si>
  <si>
    <t>Motor gasoline (excluding biofuel portion)</t>
  </si>
  <si>
    <t>Aviation gasoline</t>
  </si>
  <si>
    <t>Gasoline-type jet fuel</t>
  </si>
  <si>
    <t>Kerosene-type jet fuel (excluding biofuel portion)</t>
  </si>
  <si>
    <t>Naphtha</t>
  </si>
  <si>
    <t>Gas oil and diesel oil (excluding biofuel portion)</t>
  </si>
  <si>
    <t>Fuel oil</t>
  </si>
  <si>
    <t>White spirit and special boiling point industrial spirits</t>
  </si>
  <si>
    <t>Lubricants</t>
  </si>
  <si>
    <t>Bitumen</t>
  </si>
  <si>
    <t>Petroleum coke</t>
  </si>
  <si>
    <t>Paraffin waxes</t>
  </si>
  <si>
    <t>Other oil products</t>
  </si>
  <si>
    <t>Renewables and biofuels</t>
  </si>
  <si>
    <t>Hydro</t>
  </si>
  <si>
    <t>Tide, wave, ocean</t>
  </si>
  <si>
    <t>Wind</t>
  </si>
  <si>
    <t>Solar photovoltaic</t>
  </si>
  <si>
    <t>Primary solid biofuels</t>
  </si>
  <si>
    <t>Charcoal</t>
  </si>
  <si>
    <t>Biogases</t>
  </si>
  <si>
    <t>Renewable municipal waste</t>
  </si>
  <si>
    <t>Pure biogasoline</t>
  </si>
  <si>
    <t>Blended biogasoline</t>
  </si>
  <si>
    <t>Pure biodiesels</t>
  </si>
  <si>
    <t>Blended biodiesels</t>
  </si>
  <si>
    <t>Pure bio jet kerosene</t>
  </si>
  <si>
    <t>Blended bio jet kerosene</t>
  </si>
  <si>
    <t>Ambient heat (heat pumps)</t>
  </si>
  <si>
    <t>Non-renewable waste</t>
  </si>
  <si>
    <t>Industrial waste (non-renewable)</t>
  </si>
  <si>
    <t>Non-renewable municipal waste</t>
  </si>
  <si>
    <t>Nuclear heat</t>
  </si>
  <si>
    <t>Heat</t>
  </si>
  <si>
    <t>+</t>
  </si>
  <si>
    <t>Households</t>
  </si>
  <si>
    <t>FC_OTH_HH_E</t>
  </si>
  <si>
    <t>Z</t>
  </si>
  <si>
    <t>DENMARK</t>
  </si>
  <si>
    <t>FINLAND</t>
  </si>
  <si>
    <t>ICELAND</t>
  </si>
  <si>
    <t>NORWAY</t>
  </si>
  <si>
    <t>SWEDEN</t>
  </si>
  <si>
    <t>PJ</t>
  </si>
  <si>
    <t>Other RES</t>
  </si>
  <si>
    <t>Values are taken from Fig 6.2. Fig 6.2 refers to the final energy delivered to consumers, Fig 6.1 to gross energy production</t>
  </si>
  <si>
    <t>Renewables (no biofuels)</t>
  </si>
  <si>
    <t>Unit: TJ</t>
  </si>
  <si>
    <t>Source: Countries National Statistics. All values in TJ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</si>
</sst>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k_r_._-;\-* #,##0.00\ _k_r_._-;_-* &quot;-&quot;??\ _k_r_._-;_-@_-"/>
    <numFmt numFmtId="165" formatCode="_-* #,##0\ _k_r_._-;\-* #,##0\ _k_r_._-;_-* &quot;-&quot;??\ _k_r_._-;_-@_-"/>
    <numFmt numFmtId="166" formatCode="dd\.mm\.yy"/>
    <numFmt numFmtId="167" formatCode="#,##0.0_ ;\-#,##0.0\ "/>
    <numFmt numFmtId="168" formatCode="_-* #,##0\ _€_-;\-* #,##0\ _€_-;_-* &quot;-&quot;??\ _€_-;_-@_-"/>
    <numFmt numFmtId="169" formatCode="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9"/>
      <color theme="6"/>
      <name val="Arial Narrow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 Narrow"/>
      <family val="2"/>
    </font>
    <font>
      <b/>
      <sz val="18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color theme="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67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2C4C5"/>
        <bgColor rgb="FF000000"/>
      </patternFill>
    </fill>
    <fill>
      <patternFill patternType="solid">
        <fgColor rgb="FFBDE4FF"/>
        <bgColor rgb="FF000000"/>
      </patternFill>
    </fill>
    <fill>
      <patternFill patternType="solid">
        <fgColor rgb="FFE1E1E1"/>
        <bgColor rgb="FF000000"/>
      </patternFill>
    </fill>
    <fill>
      <patternFill patternType="solid">
        <fgColor rgb="FFEFF5FC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hair">
        <color rgb="FFA6A6A6"/>
      </left>
      <right/>
      <top/>
      <bottom style="thin">
        <color rgb="FF00000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/>
      <top/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hair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Border="0" applyAlignment="0"/>
    <xf numFmtId="0" fontId="12" fillId="0" borderId="0"/>
    <xf numFmtId="9" fontId="1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</cellStyleXfs>
  <cellXfs count="133">
    <xf numFmtId="0" fontId="0" fillId="0" borderId="0" xfId="0"/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3" borderId="0" xfId="0" applyFont="1" applyFill="1" applyBorder="1"/>
    <xf numFmtId="0" fontId="6" fillId="3" borderId="0" xfId="0" applyFont="1" applyFill="1" applyBorder="1"/>
    <xf numFmtId="0" fontId="7" fillId="3" borderId="0" xfId="0" applyFont="1" applyFill="1" applyBorder="1"/>
    <xf numFmtId="0" fontId="8" fillId="3" borderId="0" xfId="0" applyFont="1" applyFill="1" applyBorder="1"/>
    <xf numFmtId="0" fontId="5" fillId="3" borderId="0" xfId="0" applyFont="1" applyFill="1" applyBorder="1" applyAlignment="1">
      <alignment vertical="top"/>
    </xf>
    <xf numFmtId="0" fontId="5" fillId="3" borderId="0" xfId="0" applyFont="1" applyFill="1" applyBorder="1" applyAlignment="1">
      <alignment horizontal="left" vertical="top"/>
    </xf>
    <xf numFmtId="0" fontId="9" fillId="3" borderId="0" xfId="0" applyFont="1" applyFill="1" applyBorder="1"/>
    <xf numFmtId="1" fontId="6" fillId="3" borderId="0" xfId="0" applyNumberFormat="1" applyFont="1" applyFill="1" applyBorder="1"/>
    <xf numFmtId="2" fontId="5" fillId="3" borderId="0" xfId="0" applyNumberFormat="1" applyFont="1" applyFill="1" applyBorder="1"/>
    <xf numFmtId="1" fontId="5" fillId="3" borderId="0" xfId="0" applyNumberFormat="1" applyFont="1" applyFill="1" applyBorder="1"/>
    <xf numFmtId="0" fontId="0" fillId="0" borderId="0" xfId="0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1" fontId="0" fillId="0" borderId="4" xfId="0" applyNumberFormat="1" applyBorder="1"/>
    <xf numFmtId="0" fontId="0" fillId="0" borderId="5" xfId="0" applyBorder="1"/>
    <xf numFmtId="1" fontId="0" fillId="0" borderId="5" xfId="0" applyNumberFormat="1" applyBorder="1"/>
    <xf numFmtId="0" fontId="11" fillId="0" borderId="2" xfId="3" applyFont="1" applyFill="1" applyBorder="1" applyProtection="1"/>
    <xf numFmtId="0" fontId="11" fillId="0" borderId="3" xfId="3" applyFont="1" applyFill="1" applyBorder="1" applyProtection="1"/>
    <xf numFmtId="0" fontId="0" fillId="0" borderId="4" xfId="0" applyFill="1" applyBorder="1"/>
    <xf numFmtId="1" fontId="10" fillId="0" borderId="4" xfId="3" applyNumberFormat="1" applyFill="1" applyBorder="1" applyProtection="1"/>
    <xf numFmtId="0" fontId="10" fillId="0" borderId="5" xfId="3" applyFill="1" applyBorder="1" applyProtection="1"/>
    <xf numFmtId="1" fontId="10" fillId="0" borderId="5" xfId="3" applyNumberFormat="1" applyFill="1" applyBorder="1" applyProtection="1"/>
    <xf numFmtId="1" fontId="10" fillId="0" borderId="0" xfId="3" applyNumberFormat="1" applyFill="1" applyBorder="1" applyProtection="1"/>
    <xf numFmtId="1" fontId="11" fillId="0" borderId="2" xfId="3" applyNumberFormat="1" applyFont="1" applyFill="1" applyBorder="1" applyProtection="1"/>
    <xf numFmtId="0" fontId="0" fillId="0" borderId="5" xfId="0" applyFill="1" applyBorder="1"/>
    <xf numFmtId="0" fontId="0" fillId="0" borderId="0" xfId="0" applyFill="1" applyBorder="1"/>
    <xf numFmtId="0" fontId="2" fillId="0" borderId="2" xfId="0" applyFont="1" applyFill="1" applyBorder="1"/>
    <xf numFmtId="0" fontId="2" fillId="0" borderId="3" xfId="0" applyFont="1" applyFill="1" applyBorder="1"/>
    <xf numFmtId="1" fontId="0" fillId="0" borderId="4" xfId="0" applyNumberFormat="1" applyFill="1" applyBorder="1"/>
    <xf numFmtId="1" fontId="0" fillId="0" borderId="5" xfId="0" applyNumberFormat="1" applyFill="1" applyBorder="1"/>
    <xf numFmtId="1" fontId="0" fillId="0" borderId="0" xfId="0" applyNumberFormat="1"/>
    <xf numFmtId="9" fontId="0" fillId="0" borderId="0" xfId="2" applyFont="1"/>
    <xf numFmtId="165" fontId="0" fillId="0" borderId="0" xfId="1" applyNumberFormat="1" applyFont="1"/>
    <xf numFmtId="0" fontId="0" fillId="0" borderId="6" xfId="0" applyFill="1" applyBorder="1"/>
    <xf numFmtId="3" fontId="2" fillId="0" borderId="0" xfId="0" applyNumberFormat="1" applyFont="1" applyBorder="1"/>
    <xf numFmtId="0" fontId="12" fillId="0" borderId="0" xfId="4"/>
    <xf numFmtId="0" fontId="13" fillId="0" borderId="0" xfId="4" applyFont="1"/>
    <xf numFmtId="3" fontId="12" fillId="0" borderId="0" xfId="4" applyNumberFormat="1"/>
    <xf numFmtId="9" fontId="0" fillId="0" borderId="0" xfId="5" applyFont="1"/>
    <xf numFmtId="0" fontId="14" fillId="0" borderId="0" xfId="4" applyNumberFormat="1" applyFont="1" applyFill="1" applyBorder="1" applyAlignment="1"/>
    <xf numFmtId="166" fontId="14" fillId="0" borderId="0" xfId="4" applyNumberFormat="1" applyFont="1" applyFill="1" applyBorder="1" applyAlignment="1"/>
    <xf numFmtId="0" fontId="14" fillId="4" borderId="8" xfId="4" applyNumberFormat="1" applyFont="1" applyFill="1" applyBorder="1" applyAlignment="1"/>
    <xf numFmtId="3" fontId="14" fillId="0" borderId="8" xfId="4" applyNumberFormat="1" applyFont="1" applyFill="1" applyBorder="1" applyAlignment="1"/>
    <xf numFmtId="0" fontId="14" fillId="0" borderId="8" xfId="4" applyNumberFormat="1" applyFont="1" applyFill="1" applyBorder="1" applyAlignment="1"/>
    <xf numFmtId="0" fontId="15" fillId="0" borderId="0" xfId="6"/>
    <xf numFmtId="0" fontId="11" fillId="5" borderId="0" xfId="0" applyFont="1" applyFill="1"/>
    <xf numFmtId="0" fontId="16" fillId="6" borderId="0" xfId="0" applyFont="1" applyFill="1" applyAlignment="1">
      <alignment horizontal="center"/>
    </xf>
    <xf numFmtId="0" fontId="16" fillId="6" borderId="0" xfId="0" applyFont="1" applyFill="1" applyAlignment="1">
      <alignment horizontal="left"/>
    </xf>
    <xf numFmtId="0" fontId="16" fillId="6" borderId="0" xfId="0" applyFont="1" applyFill="1"/>
    <xf numFmtId="0" fontId="16" fillId="0" borderId="0" xfId="0" quotePrefix="1" applyFont="1" applyAlignment="1">
      <alignment horizontal="center"/>
    </xf>
    <xf numFmtId="0" fontId="16" fillId="0" borderId="0" xfId="0" applyFont="1"/>
    <xf numFmtId="0" fontId="16" fillId="7" borderId="0" xfId="0" applyFont="1" applyFill="1" applyAlignment="1">
      <alignment horizontal="center"/>
    </xf>
    <xf numFmtId="0" fontId="16" fillId="7" borderId="0" xfId="0" applyFont="1" applyFill="1"/>
    <xf numFmtId="0" fontId="16" fillId="8" borderId="0" xfId="0" applyFont="1" applyFill="1"/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6" fillId="3" borderId="0" xfId="0" applyFont="1" applyFill="1"/>
    <xf numFmtId="0" fontId="15" fillId="0" borderId="0" xfId="6" applyAlignment="1">
      <alignment vertical="center"/>
    </xf>
    <xf numFmtId="0" fontId="2" fillId="9" borderId="2" xfId="0" applyFont="1" applyFill="1" applyBorder="1"/>
    <xf numFmtId="0" fontId="2" fillId="9" borderId="3" xfId="0" applyFont="1" applyFill="1" applyBorder="1"/>
    <xf numFmtId="0" fontId="2" fillId="0" borderId="0" xfId="0" applyFont="1"/>
    <xf numFmtId="0" fontId="18" fillId="0" borderId="0" xfId="4" applyFont="1"/>
    <xf numFmtId="0" fontId="19" fillId="10" borderId="9" xfId="7" applyFont="1" applyFill="1" applyBorder="1" applyAlignment="1">
      <alignment horizontal="center" vertical="center"/>
    </xf>
    <xf numFmtId="0" fontId="20" fillId="10" borderId="9" xfId="7" applyFont="1" applyFill="1" applyBorder="1" applyAlignment="1">
      <alignment horizontal="center" vertical="center"/>
    </xf>
    <xf numFmtId="0" fontId="20" fillId="10" borderId="9" xfId="7" applyFont="1" applyFill="1" applyBorder="1" applyAlignment="1">
      <alignment horizontal="left" vertical="center"/>
    </xf>
    <xf numFmtId="0" fontId="19" fillId="10" borderId="9" xfId="7" quotePrefix="1" applyFont="1" applyFill="1" applyBorder="1" applyAlignment="1">
      <alignment horizontal="center" vertical="center"/>
    </xf>
    <xf numFmtId="0" fontId="21" fillId="10" borderId="9" xfId="7" applyFont="1" applyFill="1" applyBorder="1" applyAlignment="1">
      <alignment horizontal="center" vertical="center"/>
    </xf>
    <xf numFmtId="167" fontId="19" fillId="10" borderId="10" xfId="1" applyNumberFormat="1" applyFont="1" applyFill="1" applyBorder="1" applyAlignment="1">
      <alignment horizontal="center" vertical="center" wrapText="1"/>
    </xf>
    <xf numFmtId="167" fontId="19" fillId="10" borderId="9" xfId="1" applyNumberFormat="1" applyFont="1" applyFill="1" applyBorder="1" applyAlignment="1">
      <alignment horizontal="center" vertical="center" wrapText="1"/>
    </xf>
    <xf numFmtId="167" fontId="22" fillId="10" borderId="9" xfId="1" applyNumberFormat="1" applyFont="1" applyFill="1" applyBorder="1" applyAlignment="1">
      <alignment horizontal="center" vertical="center" wrapText="1"/>
    </xf>
    <xf numFmtId="0" fontId="23" fillId="3" borderId="0" xfId="7" applyFont="1" applyFill="1" applyAlignment="1">
      <alignment horizontal="center" vertical="center"/>
    </xf>
    <xf numFmtId="0" fontId="19" fillId="3" borderId="0" xfId="7" applyFont="1" applyFill="1" applyAlignment="1">
      <alignment horizontal="center" vertical="center"/>
    </xf>
    <xf numFmtId="168" fontId="19" fillId="3" borderId="0" xfId="1" applyNumberFormat="1" applyFont="1" applyFill="1" applyAlignment="1">
      <alignment horizontal="center" vertical="center"/>
    </xf>
    <xf numFmtId="0" fontId="19" fillId="3" borderId="11" xfId="7" applyFont="1" applyFill="1" applyBorder="1" applyAlignment="1">
      <alignment vertical="center"/>
    </xf>
    <xf numFmtId="0" fontId="24" fillId="3" borderId="11" xfId="7" applyFont="1" applyFill="1" applyBorder="1" applyAlignment="1">
      <alignment horizontal="center" vertical="center"/>
    </xf>
    <xf numFmtId="0" fontId="19" fillId="3" borderId="11" xfId="7" applyFont="1" applyFill="1" applyBorder="1" applyAlignment="1">
      <alignment horizontal="left" vertical="center"/>
    </xf>
    <xf numFmtId="0" fontId="19" fillId="3" borderId="11" xfId="7" applyFont="1" applyFill="1" applyBorder="1" applyAlignment="1">
      <alignment horizontal="center" vertical="center"/>
    </xf>
    <xf numFmtId="0" fontId="21" fillId="3" borderId="11" xfId="7" applyFont="1" applyFill="1" applyBorder="1" applyAlignment="1">
      <alignment horizontal="center" vertical="center"/>
    </xf>
    <xf numFmtId="169" fontId="19" fillId="3" borderId="12" xfId="1" applyNumberFormat="1" applyFont="1" applyFill="1" applyBorder="1" applyAlignment="1">
      <alignment horizontal="right" vertical="center"/>
    </xf>
    <xf numFmtId="169" fontId="19" fillId="3" borderId="11" xfId="1" applyNumberFormat="1" applyFont="1" applyFill="1" applyBorder="1" applyAlignment="1">
      <alignment horizontal="right" vertical="center"/>
    </xf>
    <xf numFmtId="169" fontId="19" fillId="3" borderId="13" xfId="1" applyNumberFormat="1" applyFont="1" applyFill="1" applyBorder="1" applyAlignment="1">
      <alignment horizontal="right" vertical="center"/>
    </xf>
    <xf numFmtId="0" fontId="19" fillId="3" borderId="0" xfId="7" applyFont="1" applyFill="1" applyAlignment="1">
      <alignment vertical="center"/>
    </xf>
    <xf numFmtId="1" fontId="12" fillId="0" borderId="0" xfId="4" applyNumberFormat="1"/>
    <xf numFmtId="3" fontId="0" fillId="0" borderId="0" xfId="0" applyNumberFormat="1"/>
    <xf numFmtId="167" fontId="19" fillId="9" borderId="10" xfId="1" applyNumberFormat="1" applyFont="1" applyFill="1" applyBorder="1" applyAlignment="1">
      <alignment horizontal="center" vertical="center" wrapText="1"/>
    </xf>
    <xf numFmtId="169" fontId="19" fillId="9" borderId="12" xfId="1" applyNumberFormat="1" applyFont="1" applyFill="1" applyBorder="1" applyAlignment="1">
      <alignment horizontal="right" vertical="center"/>
    </xf>
    <xf numFmtId="1" fontId="0" fillId="9" borderId="0" xfId="0" applyNumberFormat="1" applyFill="1"/>
    <xf numFmtId="3" fontId="0" fillId="9" borderId="0" xfId="0" applyNumberFormat="1" applyFill="1"/>
    <xf numFmtId="0" fontId="0" fillId="9" borderId="0" xfId="0" applyFill="1"/>
    <xf numFmtId="169" fontId="19" fillId="9" borderId="13" xfId="1" applyNumberFormat="1" applyFont="1" applyFill="1" applyBorder="1" applyAlignment="1">
      <alignment horizontal="right" vertical="center"/>
    </xf>
    <xf numFmtId="3" fontId="0" fillId="11" borderId="0" xfId="0" applyNumberFormat="1" applyFill="1"/>
    <xf numFmtId="1" fontId="0" fillId="11" borderId="0" xfId="0" applyNumberFormat="1" applyFill="1"/>
    <xf numFmtId="0" fontId="12" fillId="0" borderId="0" xfId="4" applyFont="1"/>
    <xf numFmtId="0" fontId="12" fillId="9" borderId="0" xfId="4" applyFill="1"/>
    <xf numFmtId="3" fontId="12" fillId="9" borderId="0" xfId="4" applyNumberFormat="1" applyFill="1"/>
    <xf numFmtId="1" fontId="12" fillId="9" borderId="0" xfId="4" applyNumberFormat="1" applyFill="1"/>
    <xf numFmtId="0" fontId="25" fillId="3" borderId="0" xfId="0" applyFont="1" applyFill="1" applyBorder="1"/>
    <xf numFmtId="0" fontId="26" fillId="3" borderId="0" xfId="0" applyFont="1" applyFill="1" applyBorder="1" applyAlignment="1">
      <alignment horizontal="right"/>
    </xf>
    <xf numFmtId="0" fontId="26" fillId="3" borderId="0" xfId="0" applyFont="1" applyFill="1" applyBorder="1"/>
    <xf numFmtId="1" fontId="27" fillId="3" borderId="0" xfId="0" applyNumberFormat="1" applyFont="1" applyFill="1" applyBorder="1"/>
    <xf numFmtId="2" fontId="26" fillId="3" borderId="0" xfId="0" applyNumberFormat="1" applyFont="1" applyFill="1" applyBorder="1"/>
    <xf numFmtId="0" fontId="27" fillId="3" borderId="0" xfId="0" applyFont="1" applyFill="1" applyBorder="1"/>
    <xf numFmtId="1" fontId="26" fillId="3" borderId="0" xfId="0" applyNumberFormat="1" applyFont="1" applyFill="1" applyBorder="1"/>
    <xf numFmtId="3" fontId="27" fillId="3" borderId="0" xfId="0" applyNumberFormat="1" applyFont="1" applyFill="1" applyBorder="1"/>
    <xf numFmtId="1" fontId="0" fillId="0" borderId="14" xfId="0" applyNumberFormat="1" applyBorder="1"/>
    <xf numFmtId="0" fontId="2" fillId="0" borderId="0" xfId="0" applyFont="1" applyFill="1" applyBorder="1"/>
    <xf numFmtId="1" fontId="0" fillId="0" borderId="0" xfId="0" applyNumberFormat="1" applyFill="1" applyBorder="1"/>
    <xf numFmtId="1" fontId="0" fillId="0" borderId="0" xfId="0" applyNumberFormat="1" applyBorder="1"/>
    <xf numFmtId="0" fontId="2" fillId="0" borderId="5" xfId="0" applyFont="1" applyBorder="1"/>
    <xf numFmtId="0" fontId="2" fillId="0" borderId="15" xfId="0" applyFont="1" applyFill="1" applyBorder="1"/>
    <xf numFmtId="0" fontId="2" fillId="0" borderId="16" xfId="0" applyFont="1" applyFill="1" applyBorder="1"/>
    <xf numFmtId="0" fontId="2" fillId="9" borderId="16" xfId="0" applyFont="1" applyFill="1" applyBorder="1"/>
    <xf numFmtId="9" fontId="0" fillId="0" borderId="5" xfId="2" applyFont="1" applyBorder="1"/>
    <xf numFmtId="1" fontId="11" fillId="0" borderId="5" xfId="3" applyNumberFormat="1" applyFont="1" applyFill="1" applyBorder="1" applyProtection="1"/>
    <xf numFmtId="1" fontId="10" fillId="0" borderId="7" xfId="3" applyNumberFormat="1" applyFill="1" applyBorder="1" applyProtection="1"/>
    <xf numFmtId="1" fontId="10" fillId="0" borderId="14" xfId="3" applyNumberFormat="1" applyFill="1" applyBorder="1" applyProtection="1"/>
    <xf numFmtId="0" fontId="11" fillId="0" borderId="15" xfId="3" applyFont="1" applyFill="1" applyBorder="1" applyProtection="1"/>
    <xf numFmtId="0" fontId="11" fillId="0" borderId="5" xfId="3" applyFont="1" applyFill="1" applyBorder="1" applyProtection="1"/>
    <xf numFmtId="0" fontId="2" fillId="9" borderId="5" xfId="0" applyFont="1" applyFill="1" applyBorder="1"/>
    <xf numFmtId="1" fontId="10" fillId="0" borderId="0" xfId="3" applyNumberFormat="1" applyFont="1" applyFill="1" applyBorder="1" applyProtection="1"/>
    <xf numFmtId="0" fontId="11" fillId="0" borderId="0" xfId="3" applyFont="1" applyFill="1" applyBorder="1" applyProtection="1"/>
    <xf numFmtId="1" fontId="10" fillId="0" borderId="15" xfId="3" applyNumberFormat="1" applyFill="1" applyBorder="1" applyProtection="1"/>
    <xf numFmtId="1" fontId="10" fillId="0" borderId="6" xfId="3" applyNumberFormat="1" applyFill="1" applyBorder="1" applyProtection="1"/>
    <xf numFmtId="1" fontId="0" fillId="0" borderId="15" xfId="0" applyNumberFormat="1" applyFill="1" applyBorder="1"/>
    <xf numFmtId="0" fontId="0" fillId="0" borderId="6" xfId="0" applyBorder="1"/>
    <xf numFmtId="1" fontId="0" fillId="0" borderId="6" xfId="0" applyNumberFormat="1" applyBorder="1"/>
    <xf numFmtId="0" fontId="0" fillId="0" borderId="15" xfId="0" applyBorder="1"/>
    <xf numFmtId="9" fontId="0" fillId="0" borderId="0" xfId="2" applyFont="1" applyBorder="1"/>
  </cellXfs>
  <cellStyles count="8">
    <cellStyle name="Comma" xfId="1" builtinId="3"/>
    <cellStyle name="Hyperlink" xfId="6" builtinId="8"/>
    <cellStyle name="Normal" xfId="0" builtinId="0"/>
    <cellStyle name="Normal 2" xfId="4" xr:uid="{A789EB5D-6A0A-44D9-94D6-35F1C4644376}"/>
    <cellStyle name="Normal 2 2" xfId="7" xr:uid="{BC2093EC-A4C2-487E-BF65-988FB97BFD9F}"/>
    <cellStyle name="Normal 8" xfId="3" xr:uid="{B0DBFD07-F8B0-44F9-9EE1-24797D6F0DA5}"/>
    <cellStyle name="Percent" xfId="2" builtinId="5"/>
    <cellStyle name="Percent 2" xfId="5" xr:uid="{D77A69B7-31F6-4C48-9301-CE14EB6D7AF5}"/>
  </cellStyles>
  <dxfs count="0"/>
  <tableStyles count="0" defaultTableStyle="TableStyleMedium2" defaultPivotStyle="PivotStyleLight16"/>
  <colors>
    <mruColors>
      <color rgb="FF00B0F0"/>
      <color rgb="FF9154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930841532693407E-2"/>
          <c:y val="2.8389171147437667E-2"/>
          <c:w val="0.69298734172961252"/>
          <c:h val="0.87877916302128922"/>
        </c:manualLayout>
      </c:layout>
      <c:areaChart>
        <c:grouping val="stacked"/>
        <c:varyColors val="0"/>
        <c:ser>
          <c:idx val="1"/>
          <c:order val="0"/>
          <c:tx>
            <c:strRef>
              <c:f>'FIG 06.1'!$B$43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A7A9AC"/>
            </a:solidFill>
            <a:ln>
              <a:noFill/>
              <a:prstDash val="solid"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06.1'!$C$43:$AN$43</c:f>
              <c:numCache>
                <c:formatCode>0</c:formatCode>
                <c:ptCount val="38"/>
                <c:pt idx="0">
                  <c:v>30.149722222222223</c:v>
                </c:pt>
                <c:pt idx="1">
                  <c:v>30.376084413511371</c:v>
                </c:pt>
                <c:pt idx="2">
                  <c:v>30.602446604800516</c:v>
                </c:pt>
                <c:pt idx="3">
                  <c:v>30.836894658646397</c:v>
                </c:pt>
                <c:pt idx="4">
                  <c:v>31.071342712492278</c:v>
                </c:pt>
                <c:pt idx="5">
                  <c:v>31.305790766338159</c:v>
                </c:pt>
                <c:pt idx="6">
                  <c:v>31.54023882018404</c:v>
                </c:pt>
                <c:pt idx="7">
                  <c:v>31.774686874029925</c:v>
                </c:pt>
                <c:pt idx="8">
                  <c:v>31.286574899355497</c:v>
                </c:pt>
                <c:pt idx="9">
                  <c:v>30.798462924681068</c:v>
                </c:pt>
                <c:pt idx="10">
                  <c:v>30.31035095000664</c:v>
                </c:pt>
                <c:pt idx="11">
                  <c:v>29.822238975332212</c:v>
                </c:pt>
                <c:pt idx="12">
                  <c:v>29.33412700065778</c:v>
                </c:pt>
                <c:pt idx="13">
                  <c:v>26.647448935180126</c:v>
                </c:pt>
                <c:pt idx="14">
                  <c:v>23.960770869702472</c:v>
                </c:pt>
                <c:pt idx="15">
                  <c:v>21.274092804224818</c:v>
                </c:pt>
                <c:pt idx="16">
                  <c:v>18.587414738747164</c:v>
                </c:pt>
                <c:pt idx="17">
                  <c:v>15.900736673269504</c:v>
                </c:pt>
                <c:pt idx="18">
                  <c:v>13.661964906351429</c:v>
                </c:pt>
                <c:pt idx="19">
                  <c:v>11.423193139433355</c:v>
                </c:pt>
                <c:pt idx="20">
                  <c:v>9.1844213725152812</c:v>
                </c:pt>
                <c:pt idx="21">
                  <c:v>6.9456496055972066</c:v>
                </c:pt>
                <c:pt idx="22">
                  <c:v>4.706877838679131</c:v>
                </c:pt>
                <c:pt idx="23">
                  <c:v>3.9725220186495851</c:v>
                </c:pt>
                <c:pt idx="24">
                  <c:v>3.2381661986200392</c:v>
                </c:pt>
                <c:pt idx="25">
                  <c:v>2.5038103785904933</c:v>
                </c:pt>
                <c:pt idx="26">
                  <c:v>1.7694545585609474</c:v>
                </c:pt>
                <c:pt idx="27">
                  <c:v>1.035098738531401</c:v>
                </c:pt>
                <c:pt idx="28">
                  <c:v>1.0350984331740076</c:v>
                </c:pt>
                <c:pt idx="29">
                  <c:v>1.0350981278166143</c:v>
                </c:pt>
                <c:pt idx="30">
                  <c:v>1.0350978224592209</c:v>
                </c:pt>
                <c:pt idx="31">
                  <c:v>1.0350975171018275</c:v>
                </c:pt>
                <c:pt idx="32">
                  <c:v>1.0350972117444344</c:v>
                </c:pt>
                <c:pt idx="33">
                  <c:v>0.98334248869381413</c:v>
                </c:pt>
                <c:pt idx="34">
                  <c:v>0.9315877656431939</c:v>
                </c:pt>
                <c:pt idx="35">
                  <c:v>0.87983304259257367</c:v>
                </c:pt>
                <c:pt idx="36">
                  <c:v>0.82807831954195343</c:v>
                </c:pt>
                <c:pt idx="37">
                  <c:v>0.77632359649133298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0-4047-A16B-F4998E799A13}"/>
            </c:ext>
          </c:extLst>
        </c:ser>
        <c:ser>
          <c:idx val="0"/>
          <c:order val="1"/>
          <c:tx>
            <c:strRef>
              <c:f>'FIG 06.1'!$B$42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06.1'!$C$42:$AN$42</c:f>
              <c:numCache>
                <c:formatCode>0</c:formatCode>
                <c:ptCount val="38"/>
                <c:pt idx="0">
                  <c:v>3.8275000000000001</c:v>
                </c:pt>
                <c:pt idx="1">
                  <c:v>4.3127988627710794</c:v>
                </c:pt>
                <c:pt idx="2">
                  <c:v>4.7980977255421591</c:v>
                </c:pt>
                <c:pt idx="3">
                  <c:v>4.6991520602319428</c:v>
                </c:pt>
                <c:pt idx="4">
                  <c:v>4.6002063949217264</c:v>
                </c:pt>
                <c:pt idx="5">
                  <c:v>4.5012607296115101</c:v>
                </c:pt>
                <c:pt idx="6">
                  <c:v>4.4023150643012938</c:v>
                </c:pt>
                <c:pt idx="7">
                  <c:v>4.3033693989910766</c:v>
                </c:pt>
                <c:pt idx="8">
                  <c:v>3.8010755772909999</c:v>
                </c:pt>
                <c:pt idx="9">
                  <c:v>3.2987817555909231</c:v>
                </c:pt>
                <c:pt idx="10">
                  <c:v>2.7964879338908464</c:v>
                </c:pt>
                <c:pt idx="11">
                  <c:v>2.2941941121907696</c:v>
                </c:pt>
                <c:pt idx="12">
                  <c:v>1.7919002904906915</c:v>
                </c:pt>
                <c:pt idx="13">
                  <c:v>1.5383030284291348</c:v>
                </c:pt>
                <c:pt idx="14">
                  <c:v>1.2847057663675781</c:v>
                </c:pt>
                <c:pt idx="15">
                  <c:v>1.0311085043060213</c:v>
                </c:pt>
                <c:pt idx="16">
                  <c:v>0.77751124224446455</c:v>
                </c:pt>
                <c:pt idx="17">
                  <c:v>0.5239139801829078</c:v>
                </c:pt>
                <c:pt idx="18">
                  <c:v>0.54305666576988676</c:v>
                </c:pt>
                <c:pt idx="19">
                  <c:v>0.56219935135686572</c:v>
                </c:pt>
                <c:pt idx="20">
                  <c:v>0.58134203694384468</c:v>
                </c:pt>
                <c:pt idx="21">
                  <c:v>0.60048472253082363</c:v>
                </c:pt>
                <c:pt idx="22">
                  <c:v>0.6196274081178027</c:v>
                </c:pt>
                <c:pt idx="23">
                  <c:v>0.49867492812031189</c:v>
                </c:pt>
                <c:pt idx="24">
                  <c:v>0.37772244812282108</c:v>
                </c:pt>
                <c:pt idx="25">
                  <c:v>0.25676996812533026</c:v>
                </c:pt>
                <c:pt idx="26">
                  <c:v>0.13581748812783945</c:v>
                </c:pt>
                <c:pt idx="27">
                  <c:v>1.4865008130348656E-2</c:v>
                </c:pt>
                <c:pt idx="28">
                  <c:v>1.4864908380885321E-2</c:v>
                </c:pt>
                <c:pt idx="29">
                  <c:v>1.4864808631421986E-2</c:v>
                </c:pt>
                <c:pt idx="30">
                  <c:v>1.4864708881958651E-2</c:v>
                </c:pt>
                <c:pt idx="31">
                  <c:v>1.4864609132495316E-2</c:v>
                </c:pt>
                <c:pt idx="32">
                  <c:v>1.4864509383031979E-2</c:v>
                </c:pt>
                <c:pt idx="33">
                  <c:v>1.1893065613062141E-2</c:v>
                </c:pt>
                <c:pt idx="34">
                  <c:v>8.9216218430923019E-3</c:v>
                </c:pt>
                <c:pt idx="35">
                  <c:v>5.9501780731224634E-3</c:v>
                </c:pt>
                <c:pt idx="36">
                  <c:v>2.9787343031526248E-3</c:v>
                </c:pt>
                <c:pt idx="37">
                  <c:v>7.2905331827858858E-6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C0-4047-A16B-F4998E799A13}"/>
            </c:ext>
          </c:extLst>
        </c:ser>
        <c:ser>
          <c:idx val="2"/>
          <c:order val="2"/>
          <c:tx>
            <c:strRef>
              <c:f>'FIG 06.1'!$B$44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  <a:prstDash val="solid"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06.1'!$C$44:$AN$44</c:f>
              <c:numCache>
                <c:formatCode>0</c:formatCode>
                <c:ptCount val="38"/>
                <c:pt idx="0">
                  <c:v>20.735555555555553</c:v>
                </c:pt>
                <c:pt idx="1">
                  <c:v>23.194448695596897</c:v>
                </c:pt>
                <c:pt idx="2">
                  <c:v>25.653341835638241</c:v>
                </c:pt>
                <c:pt idx="3">
                  <c:v>25.088832734752174</c:v>
                </c:pt>
                <c:pt idx="4">
                  <c:v>24.524323633866107</c:v>
                </c:pt>
                <c:pt idx="5">
                  <c:v>23.95981453298004</c:v>
                </c:pt>
                <c:pt idx="6">
                  <c:v>23.395305432093974</c:v>
                </c:pt>
                <c:pt idx="7">
                  <c:v>22.830796331207903</c:v>
                </c:pt>
                <c:pt idx="8">
                  <c:v>21.894555659631706</c:v>
                </c:pt>
                <c:pt idx="9">
                  <c:v>20.958314988055509</c:v>
                </c:pt>
                <c:pt idx="10">
                  <c:v>20.022074316479312</c:v>
                </c:pt>
                <c:pt idx="11">
                  <c:v>19.085833644903115</c:v>
                </c:pt>
                <c:pt idx="12">
                  <c:v>18.149592973326914</c:v>
                </c:pt>
                <c:pt idx="13">
                  <c:v>17.672795772932936</c:v>
                </c:pt>
                <c:pt idx="14">
                  <c:v>17.195998572538958</c:v>
                </c:pt>
                <c:pt idx="15">
                  <c:v>16.71920137214498</c:v>
                </c:pt>
                <c:pt idx="16">
                  <c:v>16.242404171751001</c:v>
                </c:pt>
                <c:pt idx="17">
                  <c:v>15.765606971357029</c:v>
                </c:pt>
                <c:pt idx="18">
                  <c:v>14.221457964976176</c:v>
                </c:pt>
                <c:pt idx="19">
                  <c:v>12.677308958595324</c:v>
                </c:pt>
                <c:pt idx="20">
                  <c:v>11.133159952214472</c:v>
                </c:pt>
                <c:pt idx="21">
                  <c:v>9.5890109458336195</c:v>
                </c:pt>
                <c:pt idx="22">
                  <c:v>8.0448619394527707</c:v>
                </c:pt>
                <c:pt idx="23">
                  <c:v>7.5455721385360564</c:v>
                </c:pt>
                <c:pt idx="24">
                  <c:v>7.046282337619342</c:v>
                </c:pt>
                <c:pt idx="25">
                  <c:v>6.5469925367026276</c:v>
                </c:pt>
                <c:pt idx="26">
                  <c:v>6.0477027357859132</c:v>
                </c:pt>
                <c:pt idx="27">
                  <c:v>5.5484129348691988</c:v>
                </c:pt>
                <c:pt idx="28">
                  <c:v>5.0381325259056391</c:v>
                </c:pt>
                <c:pt idx="29">
                  <c:v>4.5278521169420793</c:v>
                </c:pt>
                <c:pt idx="30">
                  <c:v>4.0175717079785196</c:v>
                </c:pt>
                <c:pt idx="31">
                  <c:v>3.5072912990149594</c:v>
                </c:pt>
                <c:pt idx="32">
                  <c:v>2.9970108900513983</c:v>
                </c:pt>
                <c:pt idx="33">
                  <c:v>2.5318781948036291</c:v>
                </c:pt>
                <c:pt idx="34">
                  <c:v>2.0667454995558598</c:v>
                </c:pt>
                <c:pt idx="35">
                  <c:v>1.6016128043080906</c:v>
                </c:pt>
                <c:pt idx="36">
                  <c:v>1.1364801090603214</c:v>
                </c:pt>
                <c:pt idx="37">
                  <c:v>0.67134741381255258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C0-4047-A16B-F4998E799A13}"/>
            </c:ext>
          </c:extLst>
        </c:ser>
        <c:ser>
          <c:idx val="4"/>
          <c:order val="3"/>
          <c:tx>
            <c:strRef>
              <c:f>'FIG 06.1'!$B$46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  <a:prstDash val="solid"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06.1'!$C$46:$AN$46</c:f>
              <c:numCache>
                <c:formatCode>0</c:formatCode>
                <c:ptCount val="38"/>
                <c:pt idx="0">
                  <c:v>6.4649999999999999</c:v>
                </c:pt>
                <c:pt idx="1">
                  <c:v>6.5153591230027903</c:v>
                </c:pt>
                <c:pt idx="2">
                  <c:v>6.5657182460055799</c:v>
                </c:pt>
                <c:pt idx="3">
                  <c:v>6.6176603801264742</c:v>
                </c:pt>
                <c:pt idx="4">
                  <c:v>6.6696025142473685</c:v>
                </c:pt>
                <c:pt idx="5">
                  <c:v>6.7215446483682628</c:v>
                </c:pt>
                <c:pt idx="6">
                  <c:v>6.7734867824891571</c:v>
                </c:pt>
                <c:pt idx="7">
                  <c:v>6.8254289166100524</c:v>
                </c:pt>
                <c:pt idx="8">
                  <c:v>6.826636893561024</c:v>
                </c:pt>
                <c:pt idx="9">
                  <c:v>6.8278448705119956</c:v>
                </c:pt>
                <c:pt idx="10">
                  <c:v>6.8290528474629673</c:v>
                </c:pt>
                <c:pt idx="11">
                  <c:v>6.8302608244139389</c:v>
                </c:pt>
                <c:pt idx="12">
                  <c:v>6.8314688013649096</c:v>
                </c:pt>
                <c:pt idx="13">
                  <c:v>6.8115948759062563</c:v>
                </c:pt>
                <c:pt idx="14">
                  <c:v>6.791720950447603</c:v>
                </c:pt>
                <c:pt idx="15">
                  <c:v>6.7718470249889497</c:v>
                </c:pt>
                <c:pt idx="16">
                  <c:v>6.7519730995302965</c:v>
                </c:pt>
                <c:pt idx="17">
                  <c:v>6.732099174071644</c:v>
                </c:pt>
                <c:pt idx="18">
                  <c:v>6.6890132804199816</c:v>
                </c:pt>
                <c:pt idx="19">
                  <c:v>6.6459273867683191</c:v>
                </c:pt>
                <c:pt idx="20">
                  <c:v>6.6028414931166566</c:v>
                </c:pt>
                <c:pt idx="21">
                  <c:v>6.5597555994649941</c:v>
                </c:pt>
                <c:pt idx="22">
                  <c:v>6.5166697058133325</c:v>
                </c:pt>
                <c:pt idx="23">
                  <c:v>6.4600255896068175</c:v>
                </c:pt>
                <c:pt idx="24">
                  <c:v>6.4033814734003025</c:v>
                </c:pt>
                <c:pt idx="25">
                  <c:v>6.3467373571937875</c:v>
                </c:pt>
                <c:pt idx="26">
                  <c:v>6.2900932409872725</c:v>
                </c:pt>
                <c:pt idx="27">
                  <c:v>6.2334491247807566</c:v>
                </c:pt>
                <c:pt idx="28">
                  <c:v>6.1814713276588904</c:v>
                </c:pt>
                <c:pt idx="29">
                  <c:v>6.1294935305370242</c:v>
                </c:pt>
                <c:pt idx="30">
                  <c:v>6.0775157334151579</c:v>
                </c:pt>
                <c:pt idx="31">
                  <c:v>6.0255379362932917</c:v>
                </c:pt>
                <c:pt idx="32">
                  <c:v>5.9735601391714255</c:v>
                </c:pt>
                <c:pt idx="33">
                  <c:v>5.907926046009381</c:v>
                </c:pt>
                <c:pt idx="34">
                  <c:v>5.8422919528473365</c:v>
                </c:pt>
                <c:pt idx="35">
                  <c:v>5.776657859685292</c:v>
                </c:pt>
                <c:pt idx="36">
                  <c:v>5.7110237665232475</c:v>
                </c:pt>
                <c:pt idx="37">
                  <c:v>5.6453896733612021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C0-4047-A16B-F4998E799A13}"/>
            </c:ext>
          </c:extLst>
        </c:ser>
        <c:ser>
          <c:idx val="3"/>
          <c:order val="4"/>
          <c:tx>
            <c:strRef>
              <c:f>'FIG 06.1'!$B$45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  <a:prstDash val="solid"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06.1'!$C$45:$AN$45</c:f>
              <c:numCache>
                <c:formatCode>0</c:formatCode>
                <c:ptCount val="38"/>
                <c:pt idx="0">
                  <c:v>84.961666666666659</c:v>
                </c:pt>
                <c:pt idx="1">
                  <c:v>79.647567894684954</c:v>
                </c:pt>
                <c:pt idx="2">
                  <c:v>74.333469122703235</c:v>
                </c:pt>
                <c:pt idx="3">
                  <c:v>75.957705152974953</c:v>
                </c:pt>
                <c:pt idx="4">
                  <c:v>77.58194118324667</c:v>
                </c:pt>
                <c:pt idx="5">
                  <c:v>79.206177213518387</c:v>
                </c:pt>
                <c:pt idx="6">
                  <c:v>80.830413243790105</c:v>
                </c:pt>
                <c:pt idx="7">
                  <c:v>82.454649274061794</c:v>
                </c:pt>
                <c:pt idx="8">
                  <c:v>84.697916733655987</c:v>
                </c:pt>
                <c:pt idx="9">
                  <c:v>86.941184193250137</c:v>
                </c:pt>
                <c:pt idx="10">
                  <c:v>89.184451652844288</c:v>
                </c:pt>
                <c:pt idx="11">
                  <c:v>91.427719112438439</c:v>
                </c:pt>
                <c:pt idx="12">
                  <c:v>93.670986572032561</c:v>
                </c:pt>
                <c:pt idx="13">
                  <c:v>95.620979214325956</c:v>
                </c:pt>
                <c:pt idx="14">
                  <c:v>97.570971856619352</c:v>
                </c:pt>
                <c:pt idx="15">
                  <c:v>99.520964498912747</c:v>
                </c:pt>
                <c:pt idx="16">
                  <c:v>101.47095714120614</c:v>
                </c:pt>
                <c:pt idx="17">
                  <c:v>103.42094978349957</c:v>
                </c:pt>
                <c:pt idx="18">
                  <c:v>103.12197852951394</c:v>
                </c:pt>
                <c:pt idx="19">
                  <c:v>102.82300727552831</c:v>
                </c:pt>
                <c:pt idx="20">
                  <c:v>102.52403602154268</c:v>
                </c:pt>
                <c:pt idx="21">
                  <c:v>102.22506476755706</c:v>
                </c:pt>
                <c:pt idx="22">
                  <c:v>101.92609351357144</c:v>
                </c:pt>
                <c:pt idx="23">
                  <c:v>100.05070209448542</c:v>
                </c:pt>
                <c:pt idx="24">
                  <c:v>98.175310675399388</c:v>
                </c:pt>
                <c:pt idx="25">
                  <c:v>96.299919256313359</c:v>
                </c:pt>
                <c:pt idx="26">
                  <c:v>94.42452783722733</c:v>
                </c:pt>
                <c:pt idx="27">
                  <c:v>92.549136418141273</c:v>
                </c:pt>
                <c:pt idx="28">
                  <c:v>91.773115676369216</c:v>
                </c:pt>
                <c:pt idx="29">
                  <c:v>90.997094934597158</c:v>
                </c:pt>
                <c:pt idx="30">
                  <c:v>90.2210741928251</c:v>
                </c:pt>
                <c:pt idx="31">
                  <c:v>89.445053451053042</c:v>
                </c:pt>
                <c:pt idx="32">
                  <c:v>88.669032709280984</c:v>
                </c:pt>
                <c:pt idx="33">
                  <c:v>84.658457260497102</c:v>
                </c:pt>
                <c:pt idx="34">
                  <c:v>80.647881811713219</c:v>
                </c:pt>
                <c:pt idx="35">
                  <c:v>76.637306362929337</c:v>
                </c:pt>
                <c:pt idx="36">
                  <c:v>72.626730914145455</c:v>
                </c:pt>
                <c:pt idx="37">
                  <c:v>68.616155465361601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DC0-4047-A16B-F4998E799A13}"/>
            </c:ext>
          </c:extLst>
        </c:ser>
        <c:ser>
          <c:idx val="5"/>
          <c:order val="5"/>
          <c:tx>
            <c:strRef>
              <c:f>'FIG 06.1'!$B$47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  <a:prstDash val="solid"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06.1'!$C$47:$AN$47</c:f>
              <c:numCache>
                <c:formatCode>0</c:formatCode>
                <c:ptCount val="38"/>
                <c:pt idx="0">
                  <c:v>1.3469444444444445</c:v>
                </c:pt>
                <c:pt idx="1">
                  <c:v>2.2538096058180699</c:v>
                </c:pt>
                <c:pt idx="2">
                  <c:v>3.1606747671916948</c:v>
                </c:pt>
                <c:pt idx="3">
                  <c:v>3.4019018946069113</c:v>
                </c:pt>
                <c:pt idx="4">
                  <c:v>3.6431290220221277</c:v>
                </c:pt>
                <c:pt idx="5">
                  <c:v>3.8843561494373442</c:v>
                </c:pt>
                <c:pt idx="6">
                  <c:v>4.1255832768525611</c:v>
                </c:pt>
                <c:pt idx="7">
                  <c:v>4.3668104042677776</c:v>
                </c:pt>
                <c:pt idx="8">
                  <c:v>4.2404086924830757</c:v>
                </c:pt>
                <c:pt idx="9">
                  <c:v>4.1140069806983739</c:v>
                </c:pt>
                <c:pt idx="10">
                  <c:v>3.9876052689136725</c:v>
                </c:pt>
                <c:pt idx="11">
                  <c:v>3.8612035571289711</c:v>
                </c:pt>
                <c:pt idx="12">
                  <c:v>3.7348018453442697</c:v>
                </c:pt>
                <c:pt idx="13">
                  <c:v>4.977293048466656</c:v>
                </c:pt>
                <c:pt idx="14">
                  <c:v>6.2197842515890418</c:v>
                </c:pt>
                <c:pt idx="15">
                  <c:v>7.4622754547114276</c:v>
                </c:pt>
                <c:pt idx="16">
                  <c:v>8.7047666578338134</c:v>
                </c:pt>
                <c:pt idx="17">
                  <c:v>9.9472578609561992</c:v>
                </c:pt>
                <c:pt idx="18">
                  <c:v>13.467192488532829</c:v>
                </c:pt>
                <c:pt idx="19">
                  <c:v>16.987127116109459</c:v>
                </c:pt>
                <c:pt idx="20">
                  <c:v>20.507061743686091</c:v>
                </c:pt>
                <c:pt idx="21">
                  <c:v>24.026996371262722</c:v>
                </c:pt>
                <c:pt idx="22">
                  <c:v>27.54693099883935</c:v>
                </c:pt>
                <c:pt idx="23">
                  <c:v>30.376893688473025</c:v>
                </c:pt>
                <c:pt idx="24">
                  <c:v>33.2068563781067</c:v>
                </c:pt>
                <c:pt idx="25">
                  <c:v>36.036819067740375</c:v>
                </c:pt>
                <c:pt idx="26">
                  <c:v>38.866781757374049</c:v>
                </c:pt>
                <c:pt idx="27">
                  <c:v>41.696744447007724</c:v>
                </c:pt>
                <c:pt idx="28">
                  <c:v>42.597385632767242</c:v>
                </c:pt>
                <c:pt idx="29">
                  <c:v>43.49802681852676</c:v>
                </c:pt>
                <c:pt idx="30">
                  <c:v>44.398668004286279</c:v>
                </c:pt>
                <c:pt idx="31">
                  <c:v>45.299309190045797</c:v>
                </c:pt>
                <c:pt idx="32">
                  <c:v>46.199950375805308</c:v>
                </c:pt>
                <c:pt idx="33">
                  <c:v>50.720085397647544</c:v>
                </c:pt>
                <c:pt idx="34">
                  <c:v>55.240220419489781</c:v>
                </c:pt>
                <c:pt idx="35">
                  <c:v>59.760355441332017</c:v>
                </c:pt>
                <c:pt idx="36">
                  <c:v>64.280490463174246</c:v>
                </c:pt>
                <c:pt idx="37">
                  <c:v>68.800625485016482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DC0-4047-A16B-F4998E799A13}"/>
            </c:ext>
          </c:extLst>
        </c:ser>
        <c:ser>
          <c:idx val="6"/>
          <c:order val="6"/>
          <c:tx>
            <c:strRef>
              <c:f>'FIG 06.1'!$B$48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 w="50800">
              <a:noFill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06.1'!$C$48:$AN$48</c:f>
              <c:numCache>
                <c:formatCode>0</c:formatCode>
                <c:ptCount val="38"/>
                <c:pt idx="0">
                  <c:v>8.3480555555555558</c:v>
                </c:pt>
                <c:pt idx="1">
                  <c:v>4.1740277777777779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DC0-4047-A16B-F4998E799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360480"/>
        <c:axId val="334361264"/>
      </c:areaChart>
      <c:catAx>
        <c:axId val="3343604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34361264"/>
        <c:crossesAt val="0"/>
        <c:auto val="0"/>
        <c:lblAlgn val="ctr"/>
        <c:lblOffset val="100"/>
        <c:tickLblSkip val="1"/>
        <c:noMultiLvlLbl val="0"/>
      </c:catAx>
      <c:valAx>
        <c:axId val="33436126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'FIG 06.1'!$C$14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4151975794692330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DK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34360480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0427046171349192"/>
          <c:y val="0.16474737532808398"/>
          <c:w val="0.18297541666253619"/>
          <c:h val="0.73340077282006411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6930841532693407E-2"/>
          <c:y val="2.8389171147437667E-2"/>
          <c:w val="0.69298734172961252"/>
          <c:h val="0.87877916302128922"/>
        </c:manualLayout>
      </c:layout>
      <c:areaChart>
        <c:grouping val="stacked"/>
        <c:varyColors val="0"/>
        <c:ser>
          <c:idx val="1"/>
          <c:order val="0"/>
          <c:tx>
            <c:strRef>
              <c:f>'[1]NETP2016 Figure 1_20'!$B$42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A7A9AC"/>
            </a:solidFill>
            <a:ln>
              <a:noFill/>
              <a:prstDash val="solid"/>
            </a:ln>
          </c:spPr>
          <c:cat>
            <c:numRef>
              <c:f>'[1]NETP2016 Figure 1_20'!$C$40:$AN$40</c:f>
              <c:numCache>
                <c:formatCode>General</c:formatCode>
                <c:ptCount val="38"/>
                <c:pt idx="0">
                  <c:v>2013</c:v>
                </c:pt>
                <c:pt idx="7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'[1]NETP2016 Figure 1_20'!$C$42:$AN$42</c:f>
              <c:numCache>
                <c:formatCode>General</c:formatCode>
                <c:ptCount val="38"/>
                <c:pt idx="0">
                  <c:v>30.149722222222223</c:v>
                </c:pt>
                <c:pt idx="1">
                  <c:v>30.376084413511371</c:v>
                </c:pt>
                <c:pt idx="2">
                  <c:v>30.602446604800516</c:v>
                </c:pt>
                <c:pt idx="3">
                  <c:v>30.836894658646397</c:v>
                </c:pt>
                <c:pt idx="4">
                  <c:v>31.071342712492278</c:v>
                </c:pt>
                <c:pt idx="5">
                  <c:v>31.305790766338159</c:v>
                </c:pt>
                <c:pt idx="6">
                  <c:v>31.54023882018404</c:v>
                </c:pt>
                <c:pt idx="7">
                  <c:v>31.774686874029925</c:v>
                </c:pt>
                <c:pt idx="8">
                  <c:v>31.286574899355497</c:v>
                </c:pt>
                <c:pt idx="9">
                  <c:v>30.798462924681068</c:v>
                </c:pt>
                <c:pt idx="10">
                  <c:v>30.31035095000664</c:v>
                </c:pt>
                <c:pt idx="11">
                  <c:v>29.822238975332212</c:v>
                </c:pt>
                <c:pt idx="12">
                  <c:v>29.33412700065778</c:v>
                </c:pt>
                <c:pt idx="13">
                  <c:v>26.647448935180126</c:v>
                </c:pt>
                <c:pt idx="14">
                  <c:v>23.960770869702472</c:v>
                </c:pt>
                <c:pt idx="15">
                  <c:v>21.274092804224818</c:v>
                </c:pt>
                <c:pt idx="16">
                  <c:v>18.587414738747164</c:v>
                </c:pt>
                <c:pt idx="17">
                  <c:v>15.900736673269504</c:v>
                </c:pt>
                <c:pt idx="18">
                  <c:v>13.661964906351429</c:v>
                </c:pt>
                <c:pt idx="19">
                  <c:v>11.423193139433355</c:v>
                </c:pt>
                <c:pt idx="20">
                  <c:v>9.1844213725152812</c:v>
                </c:pt>
                <c:pt idx="21">
                  <c:v>6.9456496055972066</c:v>
                </c:pt>
                <c:pt idx="22">
                  <c:v>4.706877838679131</c:v>
                </c:pt>
                <c:pt idx="23">
                  <c:v>3.9725220186495851</c:v>
                </c:pt>
                <c:pt idx="24">
                  <c:v>3.2381661986200392</c:v>
                </c:pt>
                <c:pt idx="25">
                  <c:v>2.5038103785904933</c:v>
                </c:pt>
                <c:pt idx="26">
                  <c:v>1.7694545585609474</c:v>
                </c:pt>
                <c:pt idx="27">
                  <c:v>1.035098738531401</c:v>
                </c:pt>
                <c:pt idx="28">
                  <c:v>1.0350984331740076</c:v>
                </c:pt>
                <c:pt idx="29">
                  <c:v>1.0350981278166143</c:v>
                </c:pt>
                <c:pt idx="30">
                  <c:v>1.0350978224592209</c:v>
                </c:pt>
                <c:pt idx="31">
                  <c:v>1.0350975171018275</c:v>
                </c:pt>
                <c:pt idx="32">
                  <c:v>1.0350972117444344</c:v>
                </c:pt>
                <c:pt idx="33">
                  <c:v>0.98334248869381413</c:v>
                </c:pt>
                <c:pt idx="34">
                  <c:v>0.9315877656431939</c:v>
                </c:pt>
                <c:pt idx="35">
                  <c:v>0.87983304259257367</c:v>
                </c:pt>
                <c:pt idx="36">
                  <c:v>0.82807831954195343</c:v>
                </c:pt>
                <c:pt idx="37">
                  <c:v>0.77632359649133298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01-435E-942F-4CF42DA9CC2C}"/>
            </c:ext>
          </c:extLst>
        </c:ser>
        <c:ser>
          <c:idx val="0"/>
          <c:order val="1"/>
          <c:tx>
            <c:strRef>
              <c:f>'[1]NETP2016 Figure 1_20'!$B$41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cat>
            <c:numRef>
              <c:f>'[1]NETP2016 Figure 1_20'!$C$40:$AN$40</c:f>
              <c:numCache>
                <c:formatCode>General</c:formatCode>
                <c:ptCount val="38"/>
                <c:pt idx="0">
                  <c:v>2013</c:v>
                </c:pt>
                <c:pt idx="7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'[1]NETP2016 Figure 1_20'!$C$41:$AN$41</c:f>
              <c:numCache>
                <c:formatCode>General</c:formatCode>
                <c:ptCount val="38"/>
                <c:pt idx="0">
                  <c:v>3.8275000000000001</c:v>
                </c:pt>
                <c:pt idx="1">
                  <c:v>4.3127988627710794</c:v>
                </c:pt>
                <c:pt idx="2">
                  <c:v>4.7980977255421591</c:v>
                </c:pt>
                <c:pt idx="3">
                  <c:v>4.6991520602319428</c:v>
                </c:pt>
                <c:pt idx="4">
                  <c:v>4.6002063949217264</c:v>
                </c:pt>
                <c:pt idx="5">
                  <c:v>4.5012607296115101</c:v>
                </c:pt>
                <c:pt idx="6">
                  <c:v>4.4023150643012938</c:v>
                </c:pt>
                <c:pt idx="7">
                  <c:v>4.3033693989910766</c:v>
                </c:pt>
                <c:pt idx="8">
                  <c:v>3.8010755772909999</c:v>
                </c:pt>
                <c:pt idx="9">
                  <c:v>3.2987817555909231</c:v>
                </c:pt>
                <c:pt idx="10">
                  <c:v>2.7964879338908464</c:v>
                </c:pt>
                <c:pt idx="11">
                  <c:v>2.2941941121907696</c:v>
                </c:pt>
                <c:pt idx="12">
                  <c:v>1.7919002904906915</c:v>
                </c:pt>
                <c:pt idx="13">
                  <c:v>1.5383030284291348</c:v>
                </c:pt>
                <c:pt idx="14">
                  <c:v>1.2847057663675781</c:v>
                </c:pt>
                <c:pt idx="15">
                  <c:v>1.0311085043060213</c:v>
                </c:pt>
                <c:pt idx="16">
                  <c:v>0.77751124224446455</c:v>
                </c:pt>
                <c:pt idx="17">
                  <c:v>0.5239139801829078</c:v>
                </c:pt>
                <c:pt idx="18">
                  <c:v>0.54305666576988676</c:v>
                </c:pt>
                <c:pt idx="19">
                  <c:v>0.56219935135686572</c:v>
                </c:pt>
                <c:pt idx="20">
                  <c:v>0.58134203694384468</c:v>
                </c:pt>
                <c:pt idx="21">
                  <c:v>0.60048472253082363</c:v>
                </c:pt>
                <c:pt idx="22">
                  <c:v>0.6196274081178027</c:v>
                </c:pt>
                <c:pt idx="23">
                  <c:v>0.49867492812031189</c:v>
                </c:pt>
                <c:pt idx="24">
                  <c:v>0.37772244812282108</c:v>
                </c:pt>
                <c:pt idx="25">
                  <c:v>0.25676996812533026</c:v>
                </c:pt>
                <c:pt idx="26">
                  <c:v>0.13581748812783945</c:v>
                </c:pt>
                <c:pt idx="27">
                  <c:v>1.4865008130348656E-2</c:v>
                </c:pt>
                <c:pt idx="28">
                  <c:v>1.4864908380885321E-2</c:v>
                </c:pt>
                <c:pt idx="29">
                  <c:v>1.4864808631421986E-2</c:v>
                </c:pt>
                <c:pt idx="30">
                  <c:v>1.4864708881958651E-2</c:v>
                </c:pt>
                <c:pt idx="31">
                  <c:v>1.4864609132495316E-2</c:v>
                </c:pt>
                <c:pt idx="32">
                  <c:v>1.4864509383031979E-2</c:v>
                </c:pt>
                <c:pt idx="33">
                  <c:v>1.1893065613062141E-2</c:v>
                </c:pt>
                <c:pt idx="34">
                  <c:v>8.9216218430923019E-3</c:v>
                </c:pt>
                <c:pt idx="35">
                  <c:v>5.9501780731224634E-3</c:v>
                </c:pt>
                <c:pt idx="36">
                  <c:v>2.9787343031526248E-3</c:v>
                </c:pt>
                <c:pt idx="37">
                  <c:v>7.2905331827858858E-6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01-435E-942F-4CF42DA9CC2C}"/>
            </c:ext>
          </c:extLst>
        </c:ser>
        <c:ser>
          <c:idx val="2"/>
          <c:order val="2"/>
          <c:tx>
            <c:strRef>
              <c:f>'[1]NETP2016 Figure 1_20'!$B$43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  <a:prstDash val="solid"/>
            </a:ln>
          </c:spPr>
          <c:cat>
            <c:numRef>
              <c:f>'[1]NETP2016 Figure 1_20'!$C$40:$AN$40</c:f>
              <c:numCache>
                <c:formatCode>General</c:formatCode>
                <c:ptCount val="38"/>
                <c:pt idx="0">
                  <c:v>2013</c:v>
                </c:pt>
                <c:pt idx="7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'[1]NETP2016 Figure 1_20'!$C$43:$AN$43</c:f>
              <c:numCache>
                <c:formatCode>General</c:formatCode>
                <c:ptCount val="38"/>
                <c:pt idx="0">
                  <c:v>20.735555555555553</c:v>
                </c:pt>
                <c:pt idx="1">
                  <c:v>23.194448695596897</c:v>
                </c:pt>
                <c:pt idx="2">
                  <c:v>25.653341835638241</c:v>
                </c:pt>
                <c:pt idx="3">
                  <c:v>25.088832734752174</c:v>
                </c:pt>
                <c:pt idx="4">
                  <c:v>24.524323633866107</c:v>
                </c:pt>
                <c:pt idx="5">
                  <c:v>23.95981453298004</c:v>
                </c:pt>
                <c:pt idx="6">
                  <c:v>23.395305432093974</c:v>
                </c:pt>
                <c:pt idx="7">
                  <c:v>22.830796331207903</c:v>
                </c:pt>
                <c:pt idx="8">
                  <c:v>21.894555659631706</c:v>
                </c:pt>
                <c:pt idx="9">
                  <c:v>20.958314988055509</c:v>
                </c:pt>
                <c:pt idx="10">
                  <c:v>20.022074316479312</c:v>
                </c:pt>
                <c:pt idx="11">
                  <c:v>19.085833644903115</c:v>
                </c:pt>
                <c:pt idx="12">
                  <c:v>18.149592973326914</c:v>
                </c:pt>
                <c:pt idx="13">
                  <c:v>17.672795772932936</c:v>
                </c:pt>
                <c:pt idx="14">
                  <c:v>17.195998572538958</c:v>
                </c:pt>
                <c:pt idx="15">
                  <c:v>16.71920137214498</c:v>
                </c:pt>
                <c:pt idx="16">
                  <c:v>16.242404171751001</c:v>
                </c:pt>
                <c:pt idx="17">
                  <c:v>15.765606971357029</c:v>
                </c:pt>
                <c:pt idx="18">
                  <c:v>14.221457964976176</c:v>
                </c:pt>
                <c:pt idx="19">
                  <c:v>12.677308958595324</c:v>
                </c:pt>
                <c:pt idx="20">
                  <c:v>11.133159952214472</c:v>
                </c:pt>
                <c:pt idx="21">
                  <c:v>9.5890109458336195</c:v>
                </c:pt>
                <c:pt idx="22">
                  <c:v>8.0448619394527707</c:v>
                </c:pt>
                <c:pt idx="23">
                  <c:v>7.5455721385360564</c:v>
                </c:pt>
                <c:pt idx="24">
                  <c:v>7.046282337619342</c:v>
                </c:pt>
                <c:pt idx="25">
                  <c:v>6.5469925367026276</c:v>
                </c:pt>
                <c:pt idx="26">
                  <c:v>6.0477027357859132</c:v>
                </c:pt>
                <c:pt idx="27">
                  <c:v>5.5484129348691988</c:v>
                </c:pt>
                <c:pt idx="28">
                  <c:v>5.0381325259056391</c:v>
                </c:pt>
                <c:pt idx="29">
                  <c:v>4.5278521169420793</c:v>
                </c:pt>
                <c:pt idx="30">
                  <c:v>4.0175717079785196</c:v>
                </c:pt>
                <c:pt idx="31">
                  <c:v>3.5072912990149594</c:v>
                </c:pt>
                <c:pt idx="32">
                  <c:v>2.9970108900513983</c:v>
                </c:pt>
                <c:pt idx="33">
                  <c:v>2.5318781948036291</c:v>
                </c:pt>
                <c:pt idx="34">
                  <c:v>2.0667454995558598</c:v>
                </c:pt>
                <c:pt idx="35">
                  <c:v>1.6016128043080906</c:v>
                </c:pt>
                <c:pt idx="36">
                  <c:v>1.1364801090603214</c:v>
                </c:pt>
                <c:pt idx="37">
                  <c:v>0.67134741381255258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01-435E-942F-4CF42DA9CC2C}"/>
            </c:ext>
          </c:extLst>
        </c:ser>
        <c:ser>
          <c:idx val="4"/>
          <c:order val="3"/>
          <c:tx>
            <c:strRef>
              <c:f>'[1]NETP2016 Figure 1_20'!$B$45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  <a:prstDash val="solid"/>
            </a:ln>
          </c:spPr>
          <c:cat>
            <c:numRef>
              <c:f>'[1]NETP2016 Figure 1_20'!$C$40:$AN$40</c:f>
              <c:numCache>
                <c:formatCode>General</c:formatCode>
                <c:ptCount val="38"/>
                <c:pt idx="0">
                  <c:v>2013</c:v>
                </c:pt>
                <c:pt idx="7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'[1]NETP2016 Figure 1_20'!$C$45:$AN$45</c:f>
              <c:numCache>
                <c:formatCode>General</c:formatCode>
                <c:ptCount val="38"/>
                <c:pt idx="0">
                  <c:v>6.4649999999999999</c:v>
                </c:pt>
                <c:pt idx="1">
                  <c:v>6.5153591230027903</c:v>
                </c:pt>
                <c:pt idx="2">
                  <c:v>6.5657182460055799</c:v>
                </c:pt>
                <c:pt idx="3">
                  <c:v>6.6176603801264742</c:v>
                </c:pt>
                <c:pt idx="4">
                  <c:v>6.6696025142473685</c:v>
                </c:pt>
                <c:pt idx="5">
                  <c:v>6.7215446483682628</c:v>
                </c:pt>
                <c:pt idx="6">
                  <c:v>6.7734867824891571</c:v>
                </c:pt>
                <c:pt idx="7">
                  <c:v>6.8254289166100524</c:v>
                </c:pt>
                <c:pt idx="8">
                  <c:v>6.826636893561024</c:v>
                </c:pt>
                <c:pt idx="9">
                  <c:v>6.8278448705119956</c:v>
                </c:pt>
                <c:pt idx="10">
                  <c:v>6.8290528474629673</c:v>
                </c:pt>
                <c:pt idx="11">
                  <c:v>6.8302608244139389</c:v>
                </c:pt>
                <c:pt idx="12">
                  <c:v>6.8314688013649096</c:v>
                </c:pt>
                <c:pt idx="13">
                  <c:v>6.8115948759062563</c:v>
                </c:pt>
                <c:pt idx="14">
                  <c:v>6.791720950447603</c:v>
                </c:pt>
                <c:pt idx="15">
                  <c:v>6.7718470249889497</c:v>
                </c:pt>
                <c:pt idx="16">
                  <c:v>6.7519730995302965</c:v>
                </c:pt>
                <c:pt idx="17">
                  <c:v>6.732099174071644</c:v>
                </c:pt>
                <c:pt idx="18">
                  <c:v>6.6890132804199816</c:v>
                </c:pt>
                <c:pt idx="19">
                  <c:v>6.6459273867683191</c:v>
                </c:pt>
                <c:pt idx="20">
                  <c:v>6.6028414931166566</c:v>
                </c:pt>
                <c:pt idx="21">
                  <c:v>6.5597555994649941</c:v>
                </c:pt>
                <c:pt idx="22">
                  <c:v>6.5166697058133325</c:v>
                </c:pt>
                <c:pt idx="23">
                  <c:v>6.4600255896068175</c:v>
                </c:pt>
                <c:pt idx="24">
                  <c:v>6.4033814734003025</c:v>
                </c:pt>
                <c:pt idx="25">
                  <c:v>6.3467373571937875</c:v>
                </c:pt>
                <c:pt idx="26">
                  <c:v>6.2900932409872725</c:v>
                </c:pt>
                <c:pt idx="27">
                  <c:v>6.2334491247807566</c:v>
                </c:pt>
                <c:pt idx="28">
                  <c:v>6.1814713276588904</c:v>
                </c:pt>
                <c:pt idx="29">
                  <c:v>6.1294935305370242</c:v>
                </c:pt>
                <c:pt idx="30">
                  <c:v>6.0775157334151579</c:v>
                </c:pt>
                <c:pt idx="31">
                  <c:v>6.0255379362932917</c:v>
                </c:pt>
                <c:pt idx="32">
                  <c:v>5.9735601391714255</c:v>
                </c:pt>
                <c:pt idx="33">
                  <c:v>5.907926046009381</c:v>
                </c:pt>
                <c:pt idx="34">
                  <c:v>5.8422919528473365</c:v>
                </c:pt>
                <c:pt idx="35">
                  <c:v>5.776657859685292</c:v>
                </c:pt>
                <c:pt idx="36">
                  <c:v>5.7110237665232475</c:v>
                </c:pt>
                <c:pt idx="37">
                  <c:v>5.6453896733612021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01-435E-942F-4CF42DA9CC2C}"/>
            </c:ext>
          </c:extLst>
        </c:ser>
        <c:ser>
          <c:idx val="3"/>
          <c:order val="4"/>
          <c:tx>
            <c:strRef>
              <c:f>'[1]NETP2016 Figure 1_20'!$B$44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  <a:prstDash val="solid"/>
            </a:ln>
          </c:spPr>
          <c:cat>
            <c:numRef>
              <c:f>'[1]NETP2016 Figure 1_20'!$C$40:$AN$40</c:f>
              <c:numCache>
                <c:formatCode>General</c:formatCode>
                <c:ptCount val="38"/>
                <c:pt idx="0">
                  <c:v>2013</c:v>
                </c:pt>
                <c:pt idx="7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'[1]NETP2016 Figure 1_20'!$C$44:$AN$44</c:f>
              <c:numCache>
                <c:formatCode>General</c:formatCode>
                <c:ptCount val="38"/>
                <c:pt idx="0">
                  <c:v>84.961666666666659</c:v>
                </c:pt>
                <c:pt idx="1">
                  <c:v>79.647567894684954</c:v>
                </c:pt>
                <c:pt idx="2">
                  <c:v>74.333469122703235</c:v>
                </c:pt>
                <c:pt idx="3">
                  <c:v>75.957705152974953</c:v>
                </c:pt>
                <c:pt idx="4">
                  <c:v>77.58194118324667</c:v>
                </c:pt>
                <c:pt idx="5">
                  <c:v>79.206177213518387</c:v>
                </c:pt>
                <c:pt idx="6">
                  <c:v>80.830413243790105</c:v>
                </c:pt>
                <c:pt idx="7">
                  <c:v>82.454649274061836</c:v>
                </c:pt>
                <c:pt idx="8">
                  <c:v>84.697916733655987</c:v>
                </c:pt>
                <c:pt idx="9">
                  <c:v>86.941184193250137</c:v>
                </c:pt>
                <c:pt idx="10">
                  <c:v>89.184451652844288</c:v>
                </c:pt>
                <c:pt idx="11">
                  <c:v>91.427719112438439</c:v>
                </c:pt>
                <c:pt idx="12">
                  <c:v>93.670986572032561</c:v>
                </c:pt>
                <c:pt idx="13">
                  <c:v>95.620979214325956</c:v>
                </c:pt>
                <c:pt idx="14">
                  <c:v>97.570971856619352</c:v>
                </c:pt>
                <c:pt idx="15">
                  <c:v>99.520964498912747</c:v>
                </c:pt>
                <c:pt idx="16">
                  <c:v>101.47095714120614</c:v>
                </c:pt>
                <c:pt idx="17">
                  <c:v>103.42094978349957</c:v>
                </c:pt>
                <c:pt idx="18">
                  <c:v>103.12197852951394</c:v>
                </c:pt>
                <c:pt idx="19">
                  <c:v>102.82300727552831</c:v>
                </c:pt>
                <c:pt idx="20">
                  <c:v>102.52403602154268</c:v>
                </c:pt>
                <c:pt idx="21">
                  <c:v>102.22506476755706</c:v>
                </c:pt>
                <c:pt idx="22">
                  <c:v>101.92609351357144</c:v>
                </c:pt>
                <c:pt idx="23">
                  <c:v>100.05070209448542</c:v>
                </c:pt>
                <c:pt idx="24">
                  <c:v>98.175310675399388</c:v>
                </c:pt>
                <c:pt idx="25">
                  <c:v>96.299919256313359</c:v>
                </c:pt>
                <c:pt idx="26">
                  <c:v>94.42452783722733</c:v>
                </c:pt>
                <c:pt idx="27">
                  <c:v>92.549136418141273</c:v>
                </c:pt>
                <c:pt idx="28">
                  <c:v>91.773115676369216</c:v>
                </c:pt>
                <c:pt idx="29">
                  <c:v>90.997094934597158</c:v>
                </c:pt>
                <c:pt idx="30">
                  <c:v>90.2210741928251</c:v>
                </c:pt>
                <c:pt idx="31">
                  <c:v>89.445053451053042</c:v>
                </c:pt>
                <c:pt idx="32">
                  <c:v>88.669032709280984</c:v>
                </c:pt>
                <c:pt idx="33">
                  <c:v>84.658457260497102</c:v>
                </c:pt>
                <c:pt idx="34">
                  <c:v>80.647881811713219</c:v>
                </c:pt>
                <c:pt idx="35">
                  <c:v>76.637306362929337</c:v>
                </c:pt>
                <c:pt idx="36">
                  <c:v>72.626730914145455</c:v>
                </c:pt>
                <c:pt idx="37">
                  <c:v>68.616155465361601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01-435E-942F-4CF42DA9CC2C}"/>
            </c:ext>
          </c:extLst>
        </c:ser>
        <c:ser>
          <c:idx val="5"/>
          <c:order val="5"/>
          <c:tx>
            <c:strRef>
              <c:f>'[1]NETP2016 Figure 1_20'!$B$46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  <a:prstDash val="solid"/>
            </a:ln>
          </c:spPr>
          <c:cat>
            <c:numRef>
              <c:f>'[1]NETP2016 Figure 1_20'!$C$40:$AN$40</c:f>
              <c:numCache>
                <c:formatCode>General</c:formatCode>
                <c:ptCount val="38"/>
                <c:pt idx="0">
                  <c:v>2013</c:v>
                </c:pt>
                <c:pt idx="7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'[1]NETP2016 Figure 1_20'!$C$46:$AN$46</c:f>
              <c:numCache>
                <c:formatCode>General</c:formatCode>
                <c:ptCount val="38"/>
                <c:pt idx="0">
                  <c:v>1.3469444444444445</c:v>
                </c:pt>
                <c:pt idx="1">
                  <c:v>2.2538096058180699</c:v>
                </c:pt>
                <c:pt idx="2">
                  <c:v>3.1606747671916948</c:v>
                </c:pt>
                <c:pt idx="3">
                  <c:v>3.4019018946069113</c:v>
                </c:pt>
                <c:pt idx="4">
                  <c:v>3.6431290220221277</c:v>
                </c:pt>
                <c:pt idx="5">
                  <c:v>3.8843561494373442</c:v>
                </c:pt>
                <c:pt idx="6">
                  <c:v>4.1255832768525611</c:v>
                </c:pt>
                <c:pt idx="7">
                  <c:v>4.3668104042677776</c:v>
                </c:pt>
                <c:pt idx="8">
                  <c:v>4.2404086924830757</c:v>
                </c:pt>
                <c:pt idx="9">
                  <c:v>4.1140069806983739</c:v>
                </c:pt>
                <c:pt idx="10">
                  <c:v>3.9876052689136725</c:v>
                </c:pt>
                <c:pt idx="11">
                  <c:v>3.8612035571289711</c:v>
                </c:pt>
                <c:pt idx="12">
                  <c:v>3.7348018453442697</c:v>
                </c:pt>
                <c:pt idx="13">
                  <c:v>4.977293048466656</c:v>
                </c:pt>
                <c:pt idx="14">
                  <c:v>6.2197842515890418</c:v>
                </c:pt>
                <c:pt idx="15">
                  <c:v>7.4622754547114276</c:v>
                </c:pt>
                <c:pt idx="16">
                  <c:v>8.7047666578338134</c:v>
                </c:pt>
                <c:pt idx="17">
                  <c:v>9.9472578609561992</c:v>
                </c:pt>
                <c:pt idx="18">
                  <c:v>13.467192488532829</c:v>
                </c:pt>
                <c:pt idx="19">
                  <c:v>16.987127116109459</c:v>
                </c:pt>
                <c:pt idx="20">
                  <c:v>20.507061743686091</c:v>
                </c:pt>
                <c:pt idx="21">
                  <c:v>24.026996371262722</c:v>
                </c:pt>
                <c:pt idx="22">
                  <c:v>27.54693099883935</c:v>
                </c:pt>
                <c:pt idx="23">
                  <c:v>30.376893688473025</c:v>
                </c:pt>
                <c:pt idx="24">
                  <c:v>33.2068563781067</c:v>
                </c:pt>
                <c:pt idx="25">
                  <c:v>36.036819067740375</c:v>
                </c:pt>
                <c:pt idx="26">
                  <c:v>38.866781757374049</c:v>
                </c:pt>
                <c:pt idx="27">
                  <c:v>41.696744447007724</c:v>
                </c:pt>
                <c:pt idx="28">
                  <c:v>42.597385632767242</c:v>
                </c:pt>
                <c:pt idx="29">
                  <c:v>43.49802681852676</c:v>
                </c:pt>
                <c:pt idx="30">
                  <c:v>44.398668004286279</c:v>
                </c:pt>
                <c:pt idx="31">
                  <c:v>45.299309190045797</c:v>
                </c:pt>
                <c:pt idx="32">
                  <c:v>46.199950375805308</c:v>
                </c:pt>
                <c:pt idx="33">
                  <c:v>50.720085397647544</c:v>
                </c:pt>
                <c:pt idx="34">
                  <c:v>55.240220419489781</c:v>
                </c:pt>
                <c:pt idx="35">
                  <c:v>59.760355441332017</c:v>
                </c:pt>
                <c:pt idx="36">
                  <c:v>64.280490463174246</c:v>
                </c:pt>
                <c:pt idx="37">
                  <c:v>68.800625485016482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01-435E-942F-4CF42DA9CC2C}"/>
            </c:ext>
          </c:extLst>
        </c:ser>
        <c:ser>
          <c:idx val="6"/>
          <c:order val="6"/>
          <c:tx>
            <c:strRef>
              <c:f>'[1]NETP2016 Figure 1_20'!$B$47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 w="50800">
              <a:noFill/>
            </a:ln>
          </c:spPr>
          <c:cat>
            <c:numRef>
              <c:f>'[1]NETP2016 Figure 1_20'!$C$40:$AN$40</c:f>
              <c:numCache>
                <c:formatCode>General</c:formatCode>
                <c:ptCount val="38"/>
                <c:pt idx="0">
                  <c:v>2013</c:v>
                </c:pt>
                <c:pt idx="7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'[1]NETP2016 Figure 1_20'!$C$47:$AN$47</c:f>
              <c:numCache>
                <c:formatCode>General</c:formatCode>
                <c:ptCount val="38"/>
                <c:pt idx="0">
                  <c:v>8.3480555555555558</c:v>
                </c:pt>
                <c:pt idx="1">
                  <c:v>4.1740277777777779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01-435E-942F-4CF42DA9C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360480"/>
        <c:axId val="334361264"/>
      </c:areaChart>
      <c:catAx>
        <c:axId val="33436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34361264"/>
        <c:crossesAt val="0"/>
        <c:auto val="0"/>
        <c:lblAlgn val="ctr"/>
        <c:lblOffset val="100"/>
        <c:tickLblSkip val="1"/>
        <c:noMultiLvlLbl val="0"/>
      </c:catAx>
      <c:valAx>
        <c:axId val="33436126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'[1]NETP2016 Figure 1_20'!$C$14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4151975794692330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DK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34360480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0427046171349192"/>
          <c:y val="0.16474737532808398"/>
          <c:w val="0.18297541666253619"/>
          <c:h val="0.73340077282006411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930841532693407E-2"/>
          <c:y val="2.8389171147437667E-2"/>
          <c:w val="0.69298734172961252"/>
          <c:h val="0.87877916302128922"/>
        </c:manualLayout>
      </c:layout>
      <c:areaChart>
        <c:grouping val="stacked"/>
        <c:varyColors val="0"/>
        <c:ser>
          <c:idx val="7"/>
          <c:order val="7"/>
          <c:tx>
            <c:strRef>
              <c:f>'FIG 06.1'!$B$54</c:f>
              <c:strCache>
                <c:ptCount val="1"/>
                <c:pt idx="0">
                  <c:v>Fossil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06.1'!$C$54:$AN$54</c:f>
              <c:numCache>
                <c:formatCode>0</c:formatCode>
                <c:ptCount val="38"/>
                <c:pt idx="0">
                  <c:v>43.917722400000002</c:v>
                </c:pt>
                <c:pt idx="1">
                  <c:v>41.564393040000006</c:v>
                </c:pt>
                <c:pt idx="2">
                  <c:v>44.065529700000006</c:v>
                </c:pt>
                <c:pt idx="3">
                  <c:v>39.293498399999997</c:v>
                </c:pt>
                <c:pt idx="4">
                  <c:v>40.43504148000001</c:v>
                </c:pt>
                <c:pt idx="5">
                  <c:v>35.807051495949672</c:v>
                </c:pt>
                <c:pt idx="6">
                  <c:v>35.942553884485335</c:v>
                </c:pt>
                <c:pt idx="7">
                  <c:v>36.078056273021005</c:v>
                </c:pt>
                <c:pt idx="8">
                  <c:v>35.087650476646495</c:v>
                </c:pt>
                <c:pt idx="9">
                  <c:v>34.097244680271992</c:v>
                </c:pt>
                <c:pt idx="10">
                  <c:v>33.106838883897488</c:v>
                </c:pt>
                <c:pt idx="11">
                  <c:v>32.116433087522978</c:v>
                </c:pt>
                <c:pt idx="12">
                  <c:v>31.126027291148471</c:v>
                </c:pt>
                <c:pt idx="13">
                  <c:v>28.18575196360926</c:v>
                </c:pt>
                <c:pt idx="14">
                  <c:v>25.245476636070052</c:v>
                </c:pt>
                <c:pt idx="15">
                  <c:v>22.30520130853084</c:v>
                </c:pt>
                <c:pt idx="16">
                  <c:v>19.364925980991629</c:v>
                </c:pt>
                <c:pt idx="17">
                  <c:v>16.424650653452414</c:v>
                </c:pt>
                <c:pt idx="18">
                  <c:v>14.205021572121316</c:v>
                </c:pt>
                <c:pt idx="19">
                  <c:v>11.98539249079022</c:v>
                </c:pt>
                <c:pt idx="20">
                  <c:v>9.7657634094591259</c:v>
                </c:pt>
                <c:pt idx="21">
                  <c:v>7.54613432812803</c:v>
                </c:pt>
                <c:pt idx="22">
                  <c:v>5.326505246796934</c:v>
                </c:pt>
                <c:pt idx="23">
                  <c:v>4.4711969467698971</c:v>
                </c:pt>
                <c:pt idx="24">
                  <c:v>3.6158886467428601</c:v>
                </c:pt>
                <c:pt idx="25">
                  <c:v>2.7605803467158236</c:v>
                </c:pt>
                <c:pt idx="26">
                  <c:v>1.9052720466887867</c:v>
                </c:pt>
                <c:pt idx="27">
                  <c:v>1.0499637466617497</c:v>
                </c:pt>
                <c:pt idx="28">
                  <c:v>1.049963341554893</c:v>
                </c:pt>
                <c:pt idx="29">
                  <c:v>1.0499629364480363</c:v>
                </c:pt>
                <c:pt idx="30">
                  <c:v>1.0499625313411796</c:v>
                </c:pt>
                <c:pt idx="31">
                  <c:v>1.0499621262343228</c:v>
                </c:pt>
                <c:pt idx="32">
                  <c:v>1.0499617211274663</c:v>
                </c:pt>
                <c:pt idx="33">
                  <c:v>0.99523555430687627</c:v>
                </c:pt>
                <c:pt idx="34">
                  <c:v>0.94050938748628621</c:v>
                </c:pt>
                <c:pt idx="35">
                  <c:v>0.88578322066569615</c:v>
                </c:pt>
                <c:pt idx="36">
                  <c:v>0.83105705384510609</c:v>
                </c:pt>
                <c:pt idx="37">
                  <c:v>0.7763308870245158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C-4E6E-85F4-2111EFDC6E46}"/>
            </c:ext>
          </c:extLst>
        </c:ser>
        <c:ser>
          <c:idx val="9"/>
          <c:order val="8"/>
          <c:tx>
            <c:strRef>
              <c:f>'FIG 06.1'!$B$56</c:f>
              <c:strCache>
                <c:ptCount val="1"/>
                <c:pt idx="0">
                  <c:v>RE and waste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06.1'!$C$56:$AN$56</c:f>
              <c:numCache>
                <c:formatCode>0</c:formatCode>
                <c:ptCount val="38"/>
                <c:pt idx="0">
                  <c:v>78.602182800000008</c:v>
                </c:pt>
                <c:pt idx="1">
                  <c:v>82.541823359999995</c:v>
                </c:pt>
                <c:pt idx="2">
                  <c:v>89.116617599999998</c:v>
                </c:pt>
                <c:pt idx="3">
                  <c:v>93.065878199999986</c:v>
                </c:pt>
                <c:pt idx="4">
                  <c:v>90.931443477578483</c:v>
                </c:pt>
                <c:pt idx="5">
                  <c:v>109.88753639486669</c:v>
                </c:pt>
                <c:pt idx="6">
                  <c:v>110.99920545837324</c:v>
                </c:pt>
                <c:pt idx="7">
                  <c:v>112.11087452187975</c:v>
                </c:pt>
                <c:pt idx="8">
                  <c:v>113.41910928684872</c:v>
                </c:pt>
                <c:pt idx="9">
                  <c:v>114.72734405181764</c:v>
                </c:pt>
                <c:pt idx="10">
                  <c:v>116.03557881678657</c:v>
                </c:pt>
                <c:pt idx="11">
                  <c:v>117.3438135817555</c:v>
                </c:pt>
                <c:pt idx="12">
                  <c:v>118.65204834672438</c:v>
                </c:pt>
                <c:pt idx="13">
                  <c:v>120.10536986316515</c:v>
                </c:pt>
                <c:pt idx="14">
                  <c:v>121.5586913796059</c:v>
                </c:pt>
                <c:pt idx="15">
                  <c:v>123.01201289604667</c:v>
                </c:pt>
                <c:pt idx="16">
                  <c:v>124.46533441248745</c:v>
                </c:pt>
                <c:pt idx="17">
                  <c:v>125.91865592892825</c:v>
                </c:pt>
                <c:pt idx="18">
                  <c:v>124.03244977491011</c:v>
                </c:pt>
                <c:pt idx="19">
                  <c:v>122.14624362089195</c:v>
                </c:pt>
                <c:pt idx="20">
                  <c:v>120.26003746687381</c:v>
                </c:pt>
                <c:pt idx="21">
                  <c:v>118.37383131285567</c:v>
                </c:pt>
                <c:pt idx="22">
                  <c:v>116.48762515883755</c:v>
                </c:pt>
                <c:pt idx="23">
                  <c:v>114.05629982262829</c:v>
                </c:pt>
                <c:pt idx="24">
                  <c:v>111.62497448641903</c:v>
                </c:pt>
                <c:pt idx="25">
                  <c:v>109.19364915020978</c:v>
                </c:pt>
                <c:pt idx="26">
                  <c:v>106.76232381400052</c:v>
                </c:pt>
                <c:pt idx="27">
                  <c:v>104.33099847779124</c:v>
                </c:pt>
                <c:pt idx="28">
                  <c:v>102.99271952993374</c:v>
                </c:pt>
                <c:pt idx="29">
                  <c:v>101.65444058207626</c:v>
                </c:pt>
                <c:pt idx="30">
                  <c:v>100.31616163421877</c:v>
                </c:pt>
                <c:pt idx="31">
                  <c:v>98.977882686361298</c:v>
                </c:pt>
                <c:pt idx="32">
                  <c:v>97.639603738503808</c:v>
                </c:pt>
                <c:pt idx="33">
                  <c:v>93.098261501310105</c:v>
                </c:pt>
                <c:pt idx="34">
                  <c:v>88.556919264116416</c:v>
                </c:pt>
                <c:pt idx="35">
                  <c:v>84.015577026922713</c:v>
                </c:pt>
                <c:pt idx="36">
                  <c:v>79.47423478972901</c:v>
                </c:pt>
                <c:pt idx="37">
                  <c:v>74.932892552535364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C-4E6E-85F4-2111EFDC6E46}"/>
            </c:ext>
          </c:extLst>
        </c:ser>
        <c:ser>
          <c:idx val="8"/>
          <c:order val="9"/>
          <c:tx>
            <c:strRef>
              <c:f>'FIG 06.1'!$B$55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25400">
              <a:noFill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06.1'!$C$55:$AN$55</c:f>
              <c:numCache>
                <c:formatCode>0</c:formatCode>
                <c:ptCount val="38"/>
                <c:pt idx="0">
                  <c:v>8.2889315999999997</c:v>
                </c:pt>
                <c:pt idx="1">
                  <c:v>8.3562544800000005</c:v>
                </c:pt>
                <c:pt idx="2">
                  <c:v>8.2682859000000004</c:v>
                </c:pt>
                <c:pt idx="3">
                  <c:v>8.3204957999999998</c:v>
                </c:pt>
                <c:pt idx="4">
                  <c:v>7.9765518000000011</c:v>
                </c:pt>
                <c:pt idx="5">
                  <c:v>3.8843561494373442</c:v>
                </c:pt>
                <c:pt idx="6">
                  <c:v>4.1255832768525611</c:v>
                </c:pt>
                <c:pt idx="7">
                  <c:v>4.3668104042677776</c:v>
                </c:pt>
                <c:pt idx="8">
                  <c:v>4.2404086924830757</c:v>
                </c:pt>
                <c:pt idx="9">
                  <c:v>4.1140069806983739</c:v>
                </c:pt>
                <c:pt idx="10">
                  <c:v>3.9876052689136725</c:v>
                </c:pt>
                <c:pt idx="11">
                  <c:v>3.8612035571289711</c:v>
                </c:pt>
                <c:pt idx="12">
                  <c:v>3.7348018453442697</c:v>
                </c:pt>
                <c:pt idx="13">
                  <c:v>4.977293048466656</c:v>
                </c:pt>
                <c:pt idx="14">
                  <c:v>6.2197842515890418</c:v>
                </c:pt>
                <c:pt idx="15">
                  <c:v>7.4622754547114276</c:v>
                </c:pt>
                <c:pt idx="16">
                  <c:v>8.7047666578338134</c:v>
                </c:pt>
                <c:pt idx="17">
                  <c:v>9.9472578609561992</c:v>
                </c:pt>
                <c:pt idx="18">
                  <c:v>13.467192488532829</c:v>
                </c:pt>
                <c:pt idx="19">
                  <c:v>16.987127116109459</c:v>
                </c:pt>
                <c:pt idx="20">
                  <c:v>20.507061743686091</c:v>
                </c:pt>
                <c:pt idx="21">
                  <c:v>24.026996371262722</c:v>
                </c:pt>
                <c:pt idx="22">
                  <c:v>27.54693099883935</c:v>
                </c:pt>
                <c:pt idx="23">
                  <c:v>30.376893688473025</c:v>
                </c:pt>
                <c:pt idx="24">
                  <c:v>33.2068563781067</c:v>
                </c:pt>
                <c:pt idx="25">
                  <c:v>36.036819067740375</c:v>
                </c:pt>
                <c:pt idx="26">
                  <c:v>38.866781757374049</c:v>
                </c:pt>
                <c:pt idx="27">
                  <c:v>41.696744447007724</c:v>
                </c:pt>
                <c:pt idx="28">
                  <c:v>42.597385632767242</c:v>
                </c:pt>
                <c:pt idx="29">
                  <c:v>43.49802681852676</c:v>
                </c:pt>
                <c:pt idx="30">
                  <c:v>44.398668004286279</c:v>
                </c:pt>
                <c:pt idx="31">
                  <c:v>45.299309190045797</c:v>
                </c:pt>
                <c:pt idx="32">
                  <c:v>46.199950375805308</c:v>
                </c:pt>
                <c:pt idx="33">
                  <c:v>50.720085397647544</c:v>
                </c:pt>
                <c:pt idx="34">
                  <c:v>55.240220419489781</c:v>
                </c:pt>
                <c:pt idx="35">
                  <c:v>59.760355441332017</c:v>
                </c:pt>
                <c:pt idx="36">
                  <c:v>64.280490463174246</c:v>
                </c:pt>
                <c:pt idx="37">
                  <c:v>68.800625485016482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EC-4E6E-85F4-2111EFDC6E46}"/>
            </c:ext>
          </c:extLst>
        </c:ser>
        <c:ser>
          <c:idx val="10"/>
          <c:order val="10"/>
          <c:tx>
            <c:strRef>
              <c:f>'FIG 06.1'!$B$57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cat>
            <c:numRef>
              <c:f>'FIG 06.1'!$C$41:$AN$41</c:f>
              <c:numCache>
                <c:formatCode>General</c:formatCode>
                <c:ptCount val="38"/>
                <c:pt idx="0" formatCode="0">
                  <c:v>2014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'FIG 06.1'!$C$57:$AN$57</c:f>
              <c:numCache>
                <c:formatCode>0</c:formatCode>
                <c:ptCount val="38"/>
                <c:pt idx="0">
                  <c:v>9.6214025999999997</c:v>
                </c:pt>
                <c:pt idx="1">
                  <c:v>10.57310112</c:v>
                </c:pt>
                <c:pt idx="2">
                  <c:v>11.9643648</c:v>
                </c:pt>
                <c:pt idx="3">
                  <c:v>12.4107336</c:v>
                </c:pt>
                <c:pt idx="4">
                  <c:v>13.840362720000003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EC-4E6E-85F4-2111EFDC6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360480"/>
        <c:axId val="334361264"/>
        <c:extLst>
          <c:ext xmlns:c15="http://schemas.microsoft.com/office/drawing/2012/chart" uri="{02D57815-91ED-43cb-92C2-25804820EDAC}">
            <c15:filteredArea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06.1'!$B$43</c15:sqref>
                        </c15:formulaRef>
                      </c:ext>
                    </c:extLst>
                    <c:strCache>
                      <c:ptCount val="1"/>
                      <c:pt idx="0">
                        <c:v>Coal</c:v>
                      </c:pt>
                    </c:strCache>
                  </c:strRef>
                </c:tx>
                <c:spPr>
                  <a:solidFill>
                    <a:srgbClr val="A7A9AC"/>
                  </a:solidFill>
                  <a:ln>
                    <a:noFill/>
                    <a:prstDash val="solid"/>
                  </a:ln>
                </c:spPr>
                <c:cat>
                  <c:numRef>
                    <c:extLst>
                      <c:ext uri="{02D57815-91ED-43cb-92C2-25804820EDAC}">
                        <c15:formulaRef>
                          <c15:sqref>'FIG 06.1'!$C$41:$AN$41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 formatCode="0">
                        <c:v>2014</c:v>
                      </c:pt>
                      <c:pt idx="7" formatCode="0">
                        <c:v>2020</c:v>
                      </c:pt>
                      <c:pt idx="17">
                        <c:v>2030</c:v>
                      </c:pt>
                      <c:pt idx="27">
                        <c:v>2040</c:v>
                      </c:pt>
                      <c:pt idx="37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06.1'!$C$43:$AN$43</c15:sqref>
                        </c15:formulaRef>
                      </c:ext>
                    </c:extLst>
                    <c:numCache>
                      <c:formatCode>0</c:formatCode>
                      <c:ptCount val="38"/>
                      <c:pt idx="0">
                        <c:v>30.149722222222223</c:v>
                      </c:pt>
                      <c:pt idx="1">
                        <c:v>30.376084413511371</c:v>
                      </c:pt>
                      <c:pt idx="2">
                        <c:v>30.602446604800516</c:v>
                      </c:pt>
                      <c:pt idx="3">
                        <c:v>30.836894658646397</c:v>
                      </c:pt>
                      <c:pt idx="4">
                        <c:v>31.071342712492278</c:v>
                      </c:pt>
                      <c:pt idx="5">
                        <c:v>31.305790766338159</c:v>
                      </c:pt>
                      <c:pt idx="6">
                        <c:v>31.54023882018404</c:v>
                      </c:pt>
                      <c:pt idx="7">
                        <c:v>31.774686874029925</c:v>
                      </c:pt>
                      <c:pt idx="8">
                        <c:v>31.286574899355497</c:v>
                      </c:pt>
                      <c:pt idx="9">
                        <c:v>30.798462924681068</c:v>
                      </c:pt>
                      <c:pt idx="10">
                        <c:v>30.31035095000664</c:v>
                      </c:pt>
                      <c:pt idx="11">
                        <c:v>29.822238975332212</c:v>
                      </c:pt>
                      <c:pt idx="12">
                        <c:v>29.33412700065778</c:v>
                      </c:pt>
                      <c:pt idx="13">
                        <c:v>26.647448935180126</c:v>
                      </c:pt>
                      <c:pt idx="14">
                        <c:v>23.960770869702472</c:v>
                      </c:pt>
                      <c:pt idx="15">
                        <c:v>21.274092804224818</c:v>
                      </c:pt>
                      <c:pt idx="16">
                        <c:v>18.587414738747164</c:v>
                      </c:pt>
                      <c:pt idx="17">
                        <c:v>15.900736673269504</c:v>
                      </c:pt>
                      <c:pt idx="18">
                        <c:v>13.661964906351429</c:v>
                      </c:pt>
                      <c:pt idx="19">
                        <c:v>11.423193139433355</c:v>
                      </c:pt>
                      <c:pt idx="20">
                        <c:v>9.1844213725152812</c:v>
                      </c:pt>
                      <c:pt idx="21">
                        <c:v>6.9456496055972066</c:v>
                      </c:pt>
                      <c:pt idx="22">
                        <c:v>4.706877838679131</c:v>
                      </c:pt>
                      <c:pt idx="23">
                        <c:v>3.9725220186495851</c:v>
                      </c:pt>
                      <c:pt idx="24">
                        <c:v>3.2381661986200392</c:v>
                      </c:pt>
                      <c:pt idx="25">
                        <c:v>2.5038103785904933</c:v>
                      </c:pt>
                      <c:pt idx="26">
                        <c:v>1.7694545585609474</c:v>
                      </c:pt>
                      <c:pt idx="27">
                        <c:v>1.035098738531401</c:v>
                      </c:pt>
                      <c:pt idx="28">
                        <c:v>1.0350984331740076</c:v>
                      </c:pt>
                      <c:pt idx="29">
                        <c:v>1.0350981278166143</c:v>
                      </c:pt>
                      <c:pt idx="30">
                        <c:v>1.0350978224592209</c:v>
                      </c:pt>
                      <c:pt idx="31">
                        <c:v>1.0350975171018275</c:v>
                      </c:pt>
                      <c:pt idx="32">
                        <c:v>1.0350972117444344</c:v>
                      </c:pt>
                      <c:pt idx="33">
                        <c:v>0.98334248869381413</c:v>
                      </c:pt>
                      <c:pt idx="34">
                        <c:v>0.9315877656431939</c:v>
                      </c:pt>
                      <c:pt idx="35">
                        <c:v>0.87983304259257367</c:v>
                      </c:pt>
                      <c:pt idx="36">
                        <c:v>0.82807831954195343</c:v>
                      </c:pt>
                      <c:pt idx="37">
                        <c:v>0.77632359649133298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BEC-4E6E-85F4-2111EFDC6E46}"/>
                  </c:ext>
                </c:extLst>
              </c15:ser>
            </c15:filteredAreaSeries>
            <c15:filteredArea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06.1'!$B$42</c15:sqref>
                        </c15:formulaRef>
                      </c:ext>
                    </c:extLst>
                    <c:strCache>
                      <c:ptCount val="1"/>
                      <c:pt idx="0">
                        <c:v>Oil</c:v>
                      </c:pt>
                    </c:strCache>
                  </c:strRef>
                </c:tx>
                <c:spPr>
                  <a:solidFill>
                    <a:srgbClr val="948BB3"/>
                  </a:solidFill>
                  <a:ln>
                    <a:noFill/>
                    <a:prstDash val="solid"/>
                  </a:ln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06.1'!$C$41:$AN$41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 formatCode="0">
                        <c:v>2014</c:v>
                      </c:pt>
                      <c:pt idx="7" formatCode="0">
                        <c:v>2020</c:v>
                      </c:pt>
                      <c:pt idx="17">
                        <c:v>2030</c:v>
                      </c:pt>
                      <c:pt idx="27">
                        <c:v>2040</c:v>
                      </c:pt>
                      <c:pt idx="37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06.1'!$C$42:$AN$42</c15:sqref>
                        </c15:formulaRef>
                      </c:ext>
                    </c:extLst>
                    <c:numCache>
                      <c:formatCode>0</c:formatCode>
                      <c:ptCount val="38"/>
                      <c:pt idx="0">
                        <c:v>3.8275000000000001</c:v>
                      </c:pt>
                      <c:pt idx="1">
                        <c:v>4.3127988627710794</c:v>
                      </c:pt>
                      <c:pt idx="2">
                        <c:v>4.7980977255421591</c:v>
                      </c:pt>
                      <c:pt idx="3">
                        <c:v>4.6991520602319428</c:v>
                      </c:pt>
                      <c:pt idx="4">
                        <c:v>4.6002063949217264</c:v>
                      </c:pt>
                      <c:pt idx="5">
                        <c:v>4.5012607296115101</c:v>
                      </c:pt>
                      <c:pt idx="6">
                        <c:v>4.4023150643012938</c:v>
                      </c:pt>
                      <c:pt idx="7">
                        <c:v>4.3033693989910766</c:v>
                      </c:pt>
                      <c:pt idx="8">
                        <c:v>3.8010755772909999</c:v>
                      </c:pt>
                      <c:pt idx="9">
                        <c:v>3.2987817555909231</c:v>
                      </c:pt>
                      <c:pt idx="10">
                        <c:v>2.7964879338908464</c:v>
                      </c:pt>
                      <c:pt idx="11">
                        <c:v>2.2941941121907696</c:v>
                      </c:pt>
                      <c:pt idx="12">
                        <c:v>1.7919002904906915</c:v>
                      </c:pt>
                      <c:pt idx="13">
                        <c:v>1.5383030284291348</c:v>
                      </c:pt>
                      <c:pt idx="14">
                        <c:v>1.2847057663675781</c:v>
                      </c:pt>
                      <c:pt idx="15">
                        <c:v>1.0311085043060213</c:v>
                      </c:pt>
                      <c:pt idx="16">
                        <c:v>0.77751124224446455</c:v>
                      </c:pt>
                      <c:pt idx="17">
                        <c:v>0.5239139801829078</c:v>
                      </c:pt>
                      <c:pt idx="18">
                        <c:v>0.54305666576988676</c:v>
                      </c:pt>
                      <c:pt idx="19">
                        <c:v>0.56219935135686572</c:v>
                      </c:pt>
                      <c:pt idx="20">
                        <c:v>0.58134203694384468</c:v>
                      </c:pt>
                      <c:pt idx="21">
                        <c:v>0.60048472253082363</c:v>
                      </c:pt>
                      <c:pt idx="22">
                        <c:v>0.6196274081178027</c:v>
                      </c:pt>
                      <c:pt idx="23">
                        <c:v>0.49867492812031189</c:v>
                      </c:pt>
                      <c:pt idx="24">
                        <c:v>0.37772244812282108</c:v>
                      </c:pt>
                      <c:pt idx="25">
                        <c:v>0.25676996812533026</c:v>
                      </c:pt>
                      <c:pt idx="26">
                        <c:v>0.13581748812783945</c:v>
                      </c:pt>
                      <c:pt idx="27">
                        <c:v>1.4865008130348656E-2</c:v>
                      </c:pt>
                      <c:pt idx="28">
                        <c:v>1.4864908380885321E-2</c:v>
                      </c:pt>
                      <c:pt idx="29">
                        <c:v>1.4864808631421986E-2</c:v>
                      </c:pt>
                      <c:pt idx="30">
                        <c:v>1.4864708881958651E-2</c:v>
                      </c:pt>
                      <c:pt idx="31">
                        <c:v>1.4864609132495316E-2</c:v>
                      </c:pt>
                      <c:pt idx="32">
                        <c:v>1.4864509383031979E-2</c:v>
                      </c:pt>
                      <c:pt idx="33">
                        <c:v>1.1893065613062141E-2</c:v>
                      </c:pt>
                      <c:pt idx="34">
                        <c:v>8.9216218430923019E-3</c:v>
                      </c:pt>
                      <c:pt idx="35">
                        <c:v>5.9501780731224634E-3</c:v>
                      </c:pt>
                      <c:pt idx="36">
                        <c:v>2.9787343031526248E-3</c:v>
                      </c:pt>
                      <c:pt idx="37">
                        <c:v>7.2905331827858858E-6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BEC-4E6E-85F4-2111EFDC6E46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06.1'!$B$44</c15:sqref>
                        </c15:formulaRef>
                      </c:ext>
                    </c:extLst>
                    <c:strCache>
                      <c:ptCount val="1"/>
                      <c:pt idx="0">
                        <c:v>Natural gas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solidFill>
                      <a:schemeClr val="accent2"/>
                    </a:solidFill>
                    <a:prstDash val="solid"/>
                  </a:ln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06.1'!$C$41:$AN$41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 formatCode="0">
                        <c:v>2014</c:v>
                      </c:pt>
                      <c:pt idx="7" formatCode="0">
                        <c:v>2020</c:v>
                      </c:pt>
                      <c:pt idx="17">
                        <c:v>2030</c:v>
                      </c:pt>
                      <c:pt idx="27">
                        <c:v>2040</c:v>
                      </c:pt>
                      <c:pt idx="37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06.1'!$C$44:$AN$44</c15:sqref>
                        </c15:formulaRef>
                      </c:ext>
                    </c:extLst>
                    <c:numCache>
                      <c:formatCode>0</c:formatCode>
                      <c:ptCount val="38"/>
                      <c:pt idx="0">
                        <c:v>20.735555555555553</c:v>
                      </c:pt>
                      <c:pt idx="1">
                        <c:v>23.194448695596897</c:v>
                      </c:pt>
                      <c:pt idx="2">
                        <c:v>25.653341835638241</c:v>
                      </c:pt>
                      <c:pt idx="3">
                        <c:v>25.088832734752174</c:v>
                      </c:pt>
                      <c:pt idx="4">
                        <c:v>24.524323633866107</c:v>
                      </c:pt>
                      <c:pt idx="5">
                        <c:v>23.95981453298004</c:v>
                      </c:pt>
                      <c:pt idx="6">
                        <c:v>23.395305432093974</c:v>
                      </c:pt>
                      <c:pt idx="7">
                        <c:v>22.830796331207903</c:v>
                      </c:pt>
                      <c:pt idx="8">
                        <c:v>21.894555659631706</c:v>
                      </c:pt>
                      <c:pt idx="9">
                        <c:v>20.958314988055509</c:v>
                      </c:pt>
                      <c:pt idx="10">
                        <c:v>20.022074316479312</c:v>
                      </c:pt>
                      <c:pt idx="11">
                        <c:v>19.085833644903115</c:v>
                      </c:pt>
                      <c:pt idx="12">
                        <c:v>18.149592973326914</c:v>
                      </c:pt>
                      <c:pt idx="13">
                        <c:v>17.672795772932936</c:v>
                      </c:pt>
                      <c:pt idx="14">
                        <c:v>17.195998572538958</c:v>
                      </c:pt>
                      <c:pt idx="15">
                        <c:v>16.71920137214498</c:v>
                      </c:pt>
                      <c:pt idx="16">
                        <c:v>16.242404171751001</c:v>
                      </c:pt>
                      <c:pt idx="17">
                        <c:v>15.765606971357029</c:v>
                      </c:pt>
                      <c:pt idx="18">
                        <c:v>14.221457964976176</c:v>
                      </c:pt>
                      <c:pt idx="19">
                        <c:v>12.677308958595324</c:v>
                      </c:pt>
                      <c:pt idx="20">
                        <c:v>11.133159952214472</c:v>
                      </c:pt>
                      <c:pt idx="21">
                        <c:v>9.5890109458336195</c:v>
                      </c:pt>
                      <c:pt idx="22">
                        <c:v>8.0448619394527707</c:v>
                      </c:pt>
                      <c:pt idx="23">
                        <c:v>7.5455721385360564</c:v>
                      </c:pt>
                      <c:pt idx="24">
                        <c:v>7.046282337619342</c:v>
                      </c:pt>
                      <c:pt idx="25">
                        <c:v>6.5469925367026276</c:v>
                      </c:pt>
                      <c:pt idx="26">
                        <c:v>6.0477027357859132</c:v>
                      </c:pt>
                      <c:pt idx="27">
                        <c:v>5.5484129348691988</c:v>
                      </c:pt>
                      <c:pt idx="28">
                        <c:v>5.0381325259056391</c:v>
                      </c:pt>
                      <c:pt idx="29">
                        <c:v>4.5278521169420793</c:v>
                      </c:pt>
                      <c:pt idx="30">
                        <c:v>4.0175717079785196</c:v>
                      </c:pt>
                      <c:pt idx="31">
                        <c:v>3.5072912990149594</c:v>
                      </c:pt>
                      <c:pt idx="32">
                        <c:v>2.9970108900513983</c:v>
                      </c:pt>
                      <c:pt idx="33">
                        <c:v>2.5318781948036291</c:v>
                      </c:pt>
                      <c:pt idx="34">
                        <c:v>2.0667454995558598</c:v>
                      </c:pt>
                      <c:pt idx="35">
                        <c:v>1.6016128043080906</c:v>
                      </c:pt>
                      <c:pt idx="36">
                        <c:v>1.1364801090603214</c:v>
                      </c:pt>
                      <c:pt idx="37">
                        <c:v>0.67134741381255258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BEC-4E6E-85F4-2111EFDC6E46}"/>
                  </c:ext>
                </c:extLst>
              </c15:ser>
            </c15:filteredAreaSeries>
            <c15:filteredArea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06.1'!$B$46</c15:sqref>
                        </c15:formulaRef>
                      </c:ext>
                    </c:extLst>
                    <c:strCache>
                      <c:ptCount val="1"/>
                      <c:pt idx="0">
                        <c:v>Geothermal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solidFill>
                      <a:schemeClr val="accent4"/>
                    </a:solidFill>
                    <a:prstDash val="solid"/>
                  </a:ln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06.1'!$C$41:$AN$41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 formatCode="0">
                        <c:v>2014</c:v>
                      </c:pt>
                      <c:pt idx="7" formatCode="0">
                        <c:v>2020</c:v>
                      </c:pt>
                      <c:pt idx="17">
                        <c:v>2030</c:v>
                      </c:pt>
                      <c:pt idx="27">
                        <c:v>2040</c:v>
                      </c:pt>
                      <c:pt idx="37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06.1'!$C$46:$AN$46</c15:sqref>
                        </c15:formulaRef>
                      </c:ext>
                    </c:extLst>
                    <c:numCache>
                      <c:formatCode>0</c:formatCode>
                      <c:ptCount val="38"/>
                      <c:pt idx="0">
                        <c:v>6.4649999999999999</c:v>
                      </c:pt>
                      <c:pt idx="1">
                        <c:v>6.5153591230027903</c:v>
                      </c:pt>
                      <c:pt idx="2">
                        <c:v>6.5657182460055799</c:v>
                      </c:pt>
                      <c:pt idx="3">
                        <c:v>6.6176603801264742</c:v>
                      </c:pt>
                      <c:pt idx="4">
                        <c:v>6.6696025142473685</c:v>
                      </c:pt>
                      <c:pt idx="5">
                        <c:v>6.7215446483682628</c:v>
                      </c:pt>
                      <c:pt idx="6">
                        <c:v>6.7734867824891571</c:v>
                      </c:pt>
                      <c:pt idx="7">
                        <c:v>6.8254289166100524</c:v>
                      </c:pt>
                      <c:pt idx="8">
                        <c:v>6.826636893561024</c:v>
                      </c:pt>
                      <c:pt idx="9">
                        <c:v>6.8278448705119956</c:v>
                      </c:pt>
                      <c:pt idx="10">
                        <c:v>6.8290528474629673</c:v>
                      </c:pt>
                      <c:pt idx="11">
                        <c:v>6.8302608244139389</c:v>
                      </c:pt>
                      <c:pt idx="12">
                        <c:v>6.8314688013649096</c:v>
                      </c:pt>
                      <c:pt idx="13">
                        <c:v>6.8115948759062563</c:v>
                      </c:pt>
                      <c:pt idx="14">
                        <c:v>6.791720950447603</c:v>
                      </c:pt>
                      <c:pt idx="15">
                        <c:v>6.7718470249889497</c:v>
                      </c:pt>
                      <c:pt idx="16">
                        <c:v>6.7519730995302965</c:v>
                      </c:pt>
                      <c:pt idx="17">
                        <c:v>6.732099174071644</c:v>
                      </c:pt>
                      <c:pt idx="18">
                        <c:v>6.6890132804199816</c:v>
                      </c:pt>
                      <c:pt idx="19">
                        <c:v>6.6459273867683191</c:v>
                      </c:pt>
                      <c:pt idx="20">
                        <c:v>6.6028414931166566</c:v>
                      </c:pt>
                      <c:pt idx="21">
                        <c:v>6.5597555994649941</c:v>
                      </c:pt>
                      <c:pt idx="22">
                        <c:v>6.5166697058133325</c:v>
                      </c:pt>
                      <c:pt idx="23">
                        <c:v>6.4600255896068175</c:v>
                      </c:pt>
                      <c:pt idx="24">
                        <c:v>6.4033814734003025</c:v>
                      </c:pt>
                      <c:pt idx="25">
                        <c:v>6.3467373571937875</c:v>
                      </c:pt>
                      <c:pt idx="26">
                        <c:v>6.2900932409872725</c:v>
                      </c:pt>
                      <c:pt idx="27">
                        <c:v>6.2334491247807566</c:v>
                      </c:pt>
                      <c:pt idx="28">
                        <c:v>6.1814713276588904</c:v>
                      </c:pt>
                      <c:pt idx="29">
                        <c:v>6.1294935305370242</c:v>
                      </c:pt>
                      <c:pt idx="30">
                        <c:v>6.0775157334151579</c:v>
                      </c:pt>
                      <c:pt idx="31">
                        <c:v>6.0255379362932917</c:v>
                      </c:pt>
                      <c:pt idx="32">
                        <c:v>5.9735601391714255</c:v>
                      </c:pt>
                      <c:pt idx="33">
                        <c:v>5.907926046009381</c:v>
                      </c:pt>
                      <c:pt idx="34">
                        <c:v>5.8422919528473365</c:v>
                      </c:pt>
                      <c:pt idx="35">
                        <c:v>5.776657859685292</c:v>
                      </c:pt>
                      <c:pt idx="36">
                        <c:v>5.7110237665232475</c:v>
                      </c:pt>
                      <c:pt idx="37">
                        <c:v>5.6453896733612021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BEC-4E6E-85F4-2111EFDC6E46}"/>
                  </c:ext>
                </c:extLst>
              </c15:ser>
            </c15:filteredAreaSeries>
            <c15:filteredArea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06.1'!$B$45</c15:sqref>
                        </c15:formulaRef>
                      </c:ext>
                    </c:extLst>
                    <c:strCache>
                      <c:ptCount val="1"/>
                      <c:pt idx="0">
                        <c:v>Biomass and Waste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>
                    <a:solidFill>
                      <a:schemeClr val="tx2"/>
                    </a:solidFill>
                    <a:prstDash val="solid"/>
                  </a:ln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06.1'!$C$41:$AN$41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 formatCode="0">
                        <c:v>2014</c:v>
                      </c:pt>
                      <c:pt idx="7" formatCode="0">
                        <c:v>2020</c:v>
                      </c:pt>
                      <c:pt idx="17">
                        <c:v>2030</c:v>
                      </c:pt>
                      <c:pt idx="27">
                        <c:v>2040</c:v>
                      </c:pt>
                      <c:pt idx="37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06.1'!$C$45:$AN$45</c15:sqref>
                        </c15:formulaRef>
                      </c:ext>
                    </c:extLst>
                    <c:numCache>
                      <c:formatCode>0</c:formatCode>
                      <c:ptCount val="38"/>
                      <c:pt idx="0">
                        <c:v>84.961666666666659</c:v>
                      </c:pt>
                      <c:pt idx="1">
                        <c:v>79.647567894684954</c:v>
                      </c:pt>
                      <c:pt idx="2">
                        <c:v>74.333469122703235</c:v>
                      </c:pt>
                      <c:pt idx="3">
                        <c:v>75.957705152974953</c:v>
                      </c:pt>
                      <c:pt idx="4">
                        <c:v>77.58194118324667</c:v>
                      </c:pt>
                      <c:pt idx="5">
                        <c:v>79.206177213518387</c:v>
                      </c:pt>
                      <c:pt idx="6">
                        <c:v>80.830413243790105</c:v>
                      </c:pt>
                      <c:pt idx="7">
                        <c:v>82.454649274061794</c:v>
                      </c:pt>
                      <c:pt idx="8">
                        <c:v>84.697916733655987</c:v>
                      </c:pt>
                      <c:pt idx="9">
                        <c:v>86.941184193250137</c:v>
                      </c:pt>
                      <c:pt idx="10">
                        <c:v>89.184451652844288</c:v>
                      </c:pt>
                      <c:pt idx="11">
                        <c:v>91.427719112438439</c:v>
                      </c:pt>
                      <c:pt idx="12">
                        <c:v>93.670986572032561</c:v>
                      </c:pt>
                      <c:pt idx="13">
                        <c:v>95.620979214325956</c:v>
                      </c:pt>
                      <c:pt idx="14">
                        <c:v>97.570971856619352</c:v>
                      </c:pt>
                      <c:pt idx="15">
                        <c:v>99.520964498912747</c:v>
                      </c:pt>
                      <c:pt idx="16">
                        <c:v>101.47095714120614</c:v>
                      </c:pt>
                      <c:pt idx="17">
                        <c:v>103.42094978349957</c:v>
                      </c:pt>
                      <c:pt idx="18">
                        <c:v>103.12197852951394</c:v>
                      </c:pt>
                      <c:pt idx="19">
                        <c:v>102.82300727552831</c:v>
                      </c:pt>
                      <c:pt idx="20">
                        <c:v>102.52403602154268</c:v>
                      </c:pt>
                      <c:pt idx="21">
                        <c:v>102.22506476755706</c:v>
                      </c:pt>
                      <c:pt idx="22">
                        <c:v>101.92609351357144</c:v>
                      </c:pt>
                      <c:pt idx="23">
                        <c:v>100.05070209448542</c:v>
                      </c:pt>
                      <c:pt idx="24">
                        <c:v>98.175310675399388</c:v>
                      </c:pt>
                      <c:pt idx="25">
                        <c:v>96.299919256313359</c:v>
                      </c:pt>
                      <c:pt idx="26">
                        <c:v>94.42452783722733</c:v>
                      </c:pt>
                      <c:pt idx="27">
                        <c:v>92.549136418141273</c:v>
                      </c:pt>
                      <c:pt idx="28">
                        <c:v>91.773115676369216</c:v>
                      </c:pt>
                      <c:pt idx="29">
                        <c:v>90.997094934597158</c:v>
                      </c:pt>
                      <c:pt idx="30">
                        <c:v>90.2210741928251</c:v>
                      </c:pt>
                      <c:pt idx="31">
                        <c:v>89.445053451053042</c:v>
                      </c:pt>
                      <c:pt idx="32">
                        <c:v>88.669032709280984</c:v>
                      </c:pt>
                      <c:pt idx="33">
                        <c:v>84.658457260497102</c:v>
                      </c:pt>
                      <c:pt idx="34">
                        <c:v>80.647881811713219</c:v>
                      </c:pt>
                      <c:pt idx="35">
                        <c:v>76.637306362929337</c:v>
                      </c:pt>
                      <c:pt idx="36">
                        <c:v>72.626730914145455</c:v>
                      </c:pt>
                      <c:pt idx="37">
                        <c:v>68.616155465361601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BEC-4E6E-85F4-2111EFDC6E46}"/>
                  </c:ext>
                </c:extLst>
              </c15:ser>
            </c15:filteredAreaSeries>
            <c15:filteredArea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06.1'!$B$47</c15:sqref>
                        </c15:formulaRef>
                      </c:ext>
                    </c:extLst>
                    <c:strCache>
                      <c:ptCount val="1"/>
                      <c:pt idx="0">
                        <c:v>Electricity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solidFill>
                      <a:schemeClr val="accent1"/>
                    </a:solidFill>
                    <a:prstDash val="solid"/>
                  </a:ln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06.1'!$C$41:$AN$41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 formatCode="0">
                        <c:v>2014</c:v>
                      </c:pt>
                      <c:pt idx="7" formatCode="0">
                        <c:v>2020</c:v>
                      </c:pt>
                      <c:pt idx="17">
                        <c:v>2030</c:v>
                      </c:pt>
                      <c:pt idx="27">
                        <c:v>2040</c:v>
                      </c:pt>
                      <c:pt idx="37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06.1'!$C$47:$AN$47</c15:sqref>
                        </c15:formulaRef>
                      </c:ext>
                    </c:extLst>
                    <c:numCache>
                      <c:formatCode>0</c:formatCode>
                      <c:ptCount val="38"/>
                      <c:pt idx="0">
                        <c:v>1.3469444444444445</c:v>
                      </c:pt>
                      <c:pt idx="1">
                        <c:v>2.2538096058180699</c:v>
                      </c:pt>
                      <c:pt idx="2">
                        <c:v>3.1606747671916948</c:v>
                      </c:pt>
                      <c:pt idx="3">
                        <c:v>3.4019018946069113</c:v>
                      </c:pt>
                      <c:pt idx="4">
                        <c:v>3.6431290220221277</c:v>
                      </c:pt>
                      <c:pt idx="5">
                        <c:v>3.8843561494373442</c:v>
                      </c:pt>
                      <c:pt idx="6">
                        <c:v>4.1255832768525611</c:v>
                      </c:pt>
                      <c:pt idx="7">
                        <c:v>4.3668104042677776</c:v>
                      </c:pt>
                      <c:pt idx="8">
                        <c:v>4.2404086924830757</c:v>
                      </c:pt>
                      <c:pt idx="9">
                        <c:v>4.1140069806983739</c:v>
                      </c:pt>
                      <c:pt idx="10">
                        <c:v>3.9876052689136725</c:v>
                      </c:pt>
                      <c:pt idx="11">
                        <c:v>3.8612035571289711</c:v>
                      </c:pt>
                      <c:pt idx="12">
                        <c:v>3.7348018453442697</c:v>
                      </c:pt>
                      <c:pt idx="13">
                        <c:v>4.977293048466656</c:v>
                      </c:pt>
                      <c:pt idx="14">
                        <c:v>6.2197842515890418</c:v>
                      </c:pt>
                      <c:pt idx="15">
                        <c:v>7.4622754547114276</c:v>
                      </c:pt>
                      <c:pt idx="16">
                        <c:v>8.7047666578338134</c:v>
                      </c:pt>
                      <c:pt idx="17">
                        <c:v>9.9472578609561992</c:v>
                      </c:pt>
                      <c:pt idx="18">
                        <c:v>13.467192488532829</c:v>
                      </c:pt>
                      <c:pt idx="19">
                        <c:v>16.987127116109459</c:v>
                      </c:pt>
                      <c:pt idx="20">
                        <c:v>20.507061743686091</c:v>
                      </c:pt>
                      <c:pt idx="21">
                        <c:v>24.026996371262722</c:v>
                      </c:pt>
                      <c:pt idx="22">
                        <c:v>27.54693099883935</c:v>
                      </c:pt>
                      <c:pt idx="23">
                        <c:v>30.376893688473025</c:v>
                      </c:pt>
                      <c:pt idx="24">
                        <c:v>33.2068563781067</c:v>
                      </c:pt>
                      <c:pt idx="25">
                        <c:v>36.036819067740375</c:v>
                      </c:pt>
                      <c:pt idx="26">
                        <c:v>38.866781757374049</c:v>
                      </c:pt>
                      <c:pt idx="27">
                        <c:v>41.696744447007724</c:v>
                      </c:pt>
                      <c:pt idx="28">
                        <c:v>42.597385632767242</c:v>
                      </c:pt>
                      <c:pt idx="29">
                        <c:v>43.49802681852676</c:v>
                      </c:pt>
                      <c:pt idx="30">
                        <c:v>44.398668004286279</c:v>
                      </c:pt>
                      <c:pt idx="31">
                        <c:v>45.299309190045797</c:v>
                      </c:pt>
                      <c:pt idx="32">
                        <c:v>46.199950375805308</c:v>
                      </c:pt>
                      <c:pt idx="33">
                        <c:v>50.720085397647544</c:v>
                      </c:pt>
                      <c:pt idx="34">
                        <c:v>55.240220419489781</c:v>
                      </c:pt>
                      <c:pt idx="35">
                        <c:v>59.760355441332017</c:v>
                      </c:pt>
                      <c:pt idx="36">
                        <c:v>64.280490463174246</c:v>
                      </c:pt>
                      <c:pt idx="37">
                        <c:v>68.800625485016482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BEC-4E6E-85F4-2111EFDC6E46}"/>
                  </c:ext>
                </c:extLst>
              </c15:ser>
            </c15:filteredAreaSeries>
            <c15:filteredArea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06.1'!$B$48</c15:sqref>
                        </c15:formulaRef>
                      </c:ext>
                    </c:extLst>
                    <c:strCache>
                      <c:ptCount val="1"/>
                      <c:pt idx="0">
                        <c:v>Other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 w="50800">
                    <a:noFill/>
                  </a:ln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06.1'!$C$41:$AN$41</c15:sqref>
                        </c15:formulaRef>
                      </c:ext>
                    </c:extLst>
                    <c:numCache>
                      <c:formatCode>General</c:formatCode>
                      <c:ptCount val="38"/>
                      <c:pt idx="0" formatCode="0">
                        <c:v>2014</c:v>
                      </c:pt>
                      <c:pt idx="7" formatCode="0">
                        <c:v>2020</c:v>
                      </c:pt>
                      <c:pt idx="17">
                        <c:v>2030</c:v>
                      </c:pt>
                      <c:pt idx="27">
                        <c:v>2040</c:v>
                      </c:pt>
                      <c:pt idx="37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06.1'!$C$48:$AN$48</c15:sqref>
                        </c15:formulaRef>
                      </c:ext>
                    </c:extLst>
                    <c:numCache>
                      <c:formatCode>0</c:formatCode>
                      <c:ptCount val="38"/>
                      <c:pt idx="0">
                        <c:v>8.3480555555555558</c:v>
                      </c:pt>
                      <c:pt idx="1">
                        <c:v>4.1740277777777779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BEC-4E6E-85F4-2111EFDC6E46}"/>
                  </c:ext>
                </c:extLst>
              </c15:ser>
            </c15:filteredAreaSeries>
          </c:ext>
        </c:extLst>
      </c:areaChart>
      <c:catAx>
        <c:axId val="3343604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34361264"/>
        <c:crossesAt val="0"/>
        <c:auto val="0"/>
        <c:lblAlgn val="ctr"/>
        <c:lblOffset val="100"/>
        <c:tickLblSkip val="1"/>
        <c:noMultiLvlLbl val="0"/>
      </c:catAx>
      <c:valAx>
        <c:axId val="33436126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'FIG 06.1'!$C$14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4151975794692330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DK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3436048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0427046171349192"/>
          <c:y val="0.16474737532808398"/>
          <c:w val="0.18780498226368555"/>
          <c:h val="0.33452024684110826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" footer="0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6"/>
          <c:order val="0"/>
          <c:tx>
            <c:strRef>
              <c:f>'Fig 06.2'!$B$64</c:f>
              <c:strCache>
                <c:ptCount val="1"/>
                <c:pt idx="0">
                  <c:v>Fossil fuels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06.2'!$K$57:$Q$57</c:f>
              <c:numCache>
                <c:formatCode>General</c:formatCode>
                <c:ptCount val="7"/>
                <c:pt idx="0">
                  <c:v>2008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 06.2'!$K$64:$Q$64</c:f>
              <c:numCache>
                <c:formatCode>0</c:formatCode>
                <c:ptCount val="7"/>
                <c:pt idx="0">
                  <c:v>192593.92000000001</c:v>
                </c:pt>
                <c:pt idx="2">
                  <c:v>146392.408</c:v>
                </c:pt>
                <c:pt idx="3">
                  <c:v>138547.9768</c:v>
                </c:pt>
                <c:pt idx="4" formatCode="General">
                  <c:v>146885.09900000002</c:v>
                </c:pt>
                <c:pt idx="5" formatCode="General">
                  <c:v>130978.32799999999</c:v>
                </c:pt>
                <c:pt idx="6" formatCode="General">
                  <c:v>134783.47160000002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6-4232-A577-ADC919B05F7D}"/>
            </c:ext>
          </c:extLst>
        </c:ser>
        <c:ser>
          <c:idx val="2"/>
          <c:order val="1"/>
          <c:tx>
            <c:strRef>
              <c:f>'Fig 06.2'!$B$47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06.2'!$K$57:$Q$57</c:f>
              <c:numCache>
                <c:formatCode>General</c:formatCode>
                <c:ptCount val="7"/>
                <c:pt idx="0">
                  <c:v>2008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 06.2'!$K$60:$Q$60</c:f>
              <c:numCache>
                <c:formatCode>0</c:formatCode>
                <c:ptCount val="7"/>
                <c:pt idx="0">
                  <c:v>42911.44</c:v>
                </c:pt>
                <c:pt idx="2">
                  <c:v>61444.55</c:v>
                </c:pt>
                <c:pt idx="3">
                  <c:v>64884.002</c:v>
                </c:pt>
                <c:pt idx="4" formatCode="General">
                  <c:v>67491.16</c:v>
                </c:pt>
                <c:pt idx="5" formatCode="General">
                  <c:v>67831.149999999994</c:v>
                </c:pt>
                <c:pt idx="6" formatCode="General">
                  <c:v>66578.423999999999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6-4232-A577-ADC919B05F7D}"/>
            </c:ext>
          </c:extLst>
        </c:ser>
        <c:ser>
          <c:idx val="0"/>
          <c:order val="2"/>
          <c:tx>
            <c:strRef>
              <c:f>'Fig 06.2'!$B$45</c:f>
              <c:strCache>
                <c:ptCount val="1"/>
                <c:pt idx="0">
                  <c:v>Surplus heat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 06.2'!$K$57:$Q$57</c:f>
              <c:numCache>
                <c:formatCode>General</c:formatCode>
                <c:ptCount val="7"/>
                <c:pt idx="0">
                  <c:v>2008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 06.2'!$K$58:$Q$58</c:f>
              <c:numCache>
                <c:formatCode>General</c:formatCode>
                <c:ptCount val="7"/>
                <c:pt idx="0">
                  <c:v>16552.400000000001</c:v>
                </c:pt>
                <c:pt idx="2">
                  <c:v>16362.67</c:v>
                </c:pt>
                <c:pt idx="3">
                  <c:v>17122.9696</c:v>
                </c:pt>
                <c:pt idx="4">
                  <c:v>18749.936000000002</c:v>
                </c:pt>
                <c:pt idx="5">
                  <c:v>18822.402000000002</c:v>
                </c:pt>
                <c:pt idx="6">
                  <c:v>18891.448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C6-4232-A577-ADC919B05F7D}"/>
            </c:ext>
          </c:extLst>
        </c:ser>
        <c:ser>
          <c:idx val="1"/>
          <c:order val="3"/>
          <c:tx>
            <c:strRef>
              <c:f>'Fig 06.2'!$B$46</c:f>
              <c:strCache>
                <c:ptCount val="1"/>
                <c:pt idx="0">
                  <c:v>Electric boilers and heat pumps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06.2'!$K$57:$Q$57</c:f>
              <c:numCache>
                <c:formatCode>General</c:formatCode>
                <c:ptCount val="7"/>
                <c:pt idx="0">
                  <c:v>2008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 06.2'!$K$59:$Q$59</c:f>
              <c:numCache>
                <c:formatCode>General</c:formatCode>
                <c:ptCount val="7"/>
                <c:pt idx="0">
                  <c:v>25473.280000000002</c:v>
                </c:pt>
                <c:pt idx="2">
                  <c:v>27629.771999999997</c:v>
                </c:pt>
                <c:pt idx="3">
                  <c:v>27854.1816</c:v>
                </c:pt>
                <c:pt idx="4">
                  <c:v>27560.952999999998</c:v>
                </c:pt>
                <c:pt idx="5">
                  <c:v>27734.985999999997</c:v>
                </c:pt>
                <c:pt idx="6">
                  <c:v>26588.506000000001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C6-4232-A577-ADC919B05F7D}"/>
            </c:ext>
          </c:extLst>
        </c:ser>
        <c:ser>
          <c:idx val="4"/>
          <c:order val="5"/>
          <c:tx>
            <c:strRef>
              <c:f>'Fig 06.2'!$B$62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 06.2'!$K$57:$Q$57</c:f>
              <c:numCache>
                <c:formatCode>General</c:formatCode>
                <c:ptCount val="7"/>
                <c:pt idx="0">
                  <c:v>2008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 06.2'!$K$62:$Q$62</c:f>
              <c:numCache>
                <c:formatCode>0</c:formatCode>
                <c:ptCount val="7"/>
                <c:pt idx="0">
                  <c:v>22693</c:v>
                </c:pt>
                <c:pt idx="2">
                  <c:v>22526</c:v>
                </c:pt>
                <c:pt idx="3">
                  <c:v>24306</c:v>
                </c:pt>
                <c:pt idx="4" formatCode="General">
                  <c:v>30305.4</c:v>
                </c:pt>
                <c:pt idx="5" formatCode="General">
                  <c:v>30873.3</c:v>
                </c:pt>
                <c:pt idx="6" formatCode="General">
                  <c:v>29183.451591928249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C6-4232-A577-ADC919B05F7D}"/>
            </c:ext>
          </c:extLst>
        </c:ser>
        <c:ser>
          <c:idx val="5"/>
          <c:order val="6"/>
          <c:tx>
            <c:strRef>
              <c:f>'Fig 06.2'!$B$63</c:f>
              <c:strCache>
                <c:ptCount val="1"/>
                <c:pt idx="0">
                  <c:v>Bio fuels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'Fig 06.2'!$K$57:$Q$57</c:f>
              <c:numCache>
                <c:formatCode>General</c:formatCode>
                <c:ptCount val="7"/>
                <c:pt idx="0">
                  <c:v>2008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 06.2'!$K$63:$Q$63</c:f>
              <c:numCache>
                <c:formatCode>0</c:formatCode>
                <c:ptCount val="7"/>
                <c:pt idx="0">
                  <c:v>171240.08</c:v>
                </c:pt>
                <c:pt idx="2">
                  <c:v>173439.326</c:v>
                </c:pt>
                <c:pt idx="3">
                  <c:v>180378.20920000001</c:v>
                </c:pt>
                <c:pt idx="4" formatCode="General">
                  <c:v>192401.03200000001</c:v>
                </c:pt>
                <c:pt idx="5" formatCode="General">
                  <c:v>203935.74400000001</c:v>
                </c:pt>
                <c:pt idx="6" formatCode="General">
                  <c:v>199405.73599999998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BC6-4232-A577-ADC919B05F7D}"/>
            </c:ext>
          </c:extLst>
        </c:ser>
        <c:ser>
          <c:idx val="8"/>
          <c:order val="8"/>
          <c:tx>
            <c:strRef>
              <c:f>'Fig 06.2'!$B$52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06.2'!$K$57:$Q$57</c:f>
              <c:numCache>
                <c:formatCode>General</c:formatCode>
                <c:ptCount val="7"/>
                <c:pt idx="0">
                  <c:v>2008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 06.2'!$K$65:$Q$65</c:f>
              <c:numCache>
                <c:formatCode>0</c:formatCode>
                <c:ptCount val="7"/>
                <c:pt idx="0">
                  <c:v>3650.4</c:v>
                </c:pt>
                <c:pt idx="2">
                  <c:v>15708.672</c:v>
                </c:pt>
                <c:pt idx="3">
                  <c:v>18120.700800000002</c:v>
                </c:pt>
                <c:pt idx="4" formatCode="General">
                  <c:v>21131.279999999999</c:v>
                </c:pt>
                <c:pt idx="5" formatCode="General">
                  <c:v>22546.71</c:v>
                </c:pt>
                <c:pt idx="6" formatCode="General">
                  <c:v>27243.094400000016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BC6-4232-A577-ADC919B05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77888463"/>
        <c:axId val="2004905423"/>
        <c:extLst>
          <c:ext xmlns:c15="http://schemas.microsoft.com/office/drawing/2012/chart" uri="{02D57815-91ED-43cb-92C2-25804820EDAC}">
            <c15:filteredBarSeries>
              <c15:ser>
                <c:idx val="3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06.2'!$B$48</c15:sqref>
                        </c15:formulaRef>
                      </c:ext>
                    </c:extLst>
                    <c:strCache>
                      <c:ptCount val="1"/>
                      <c:pt idx="0">
                        <c:v>Renewables (no biofuels)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06.2'!$K$57:$Q$57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2008</c:v>
                      </c:pt>
                      <c:pt idx="2">
                        <c:v>2014</c:v>
                      </c:pt>
                      <c:pt idx="3">
                        <c:v>2015</c:v>
                      </c:pt>
                      <c:pt idx="4">
                        <c:v>2016</c:v>
                      </c:pt>
                      <c:pt idx="5">
                        <c:v>2017</c:v>
                      </c:pt>
                      <c:pt idx="6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06.2'!$K$48:$T$48</c15:sqref>
                        </c15:formulaRef>
                      </c:ext>
                    </c:extLst>
                    <c:numCache>
                      <c:formatCode>0</c:formatCode>
                      <c:ptCount val="10"/>
                      <c:pt idx="0">
                        <c:v>2482.6</c:v>
                      </c:pt>
                      <c:pt idx="6">
                        <c:v>4597.3999999999996</c:v>
                      </c:pt>
                      <c:pt idx="7">
                        <c:v>5571.2</c:v>
                      </c:pt>
                      <c:pt idx="8">
                        <c:v>6857.8</c:v>
                      </c:pt>
                      <c:pt idx="9">
                        <c:v>7579.4000000000005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7BC6-4232-A577-ADC919B05F7D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06.2'!$B$52</c15:sqref>
                        </c15:formulaRef>
                      </c:ext>
                    </c:extLst>
                    <c:strCache>
                      <c:ptCount val="1"/>
                      <c:pt idx="0">
                        <c:v>Other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06.2'!$K$57:$Q$57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2008</c:v>
                      </c:pt>
                      <c:pt idx="2">
                        <c:v>2014</c:v>
                      </c:pt>
                      <c:pt idx="3">
                        <c:v>2015</c:v>
                      </c:pt>
                      <c:pt idx="4">
                        <c:v>2016</c:v>
                      </c:pt>
                      <c:pt idx="5">
                        <c:v>2017</c:v>
                      </c:pt>
                      <c:pt idx="6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06.2'!$K$52:$T$52</c15:sqref>
                        </c15:formulaRef>
                      </c:ext>
                    </c:extLst>
                    <c:numCache>
                      <c:formatCode>0</c:formatCode>
                      <c:ptCount val="10"/>
                      <c:pt idx="0">
                        <c:v>3650.4</c:v>
                      </c:pt>
                      <c:pt idx="6">
                        <c:v>15708.672</c:v>
                      </c:pt>
                      <c:pt idx="7">
                        <c:v>18120.700800000002</c:v>
                      </c:pt>
                      <c:pt idx="8">
                        <c:v>21131.279999999999</c:v>
                      </c:pt>
                      <c:pt idx="9">
                        <c:v>22546.71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BC6-4232-A577-ADC919B05F7D}"/>
                  </c:ext>
                </c:extLst>
              </c15:ser>
            </c15:filteredBarSeries>
          </c:ext>
        </c:extLst>
      </c:barChart>
      <c:catAx>
        <c:axId val="1977888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2004905423"/>
        <c:crosses val="autoZero"/>
        <c:auto val="1"/>
        <c:lblAlgn val="ctr"/>
        <c:lblOffset val="100"/>
        <c:noMultiLvlLbl val="0"/>
      </c:catAx>
      <c:valAx>
        <c:axId val="200490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977888463"/>
        <c:crosses val="autoZero"/>
        <c:crossBetween val="between"/>
        <c:dispUnits>
          <c:builtInUnit val="thousand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da-DK"/>
                    <a:t>PJ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DK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100">
                <a:effectLst/>
              </a:rPr>
              <a:t>Fig 6.4: Number of heat pumps installed per 1,000 households in 2016</a:t>
            </a:r>
            <a:endParaRPr lang="da-DK" sz="10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'FIG 06.3 FIG 06.4'!$D$3</c:f>
              <c:strCache>
                <c:ptCount val="1"/>
                <c:pt idx="0">
                  <c:v>Units installed per 1000 households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 06.3 FIG 06.4'!$B$4:$B$7</c:f>
              <c:strCache>
                <c:ptCount val="4"/>
                <c:pt idx="0">
                  <c:v>Denmark</c:v>
                </c:pt>
                <c:pt idx="1">
                  <c:v>Finland</c:v>
                </c:pt>
                <c:pt idx="2">
                  <c:v>Norway</c:v>
                </c:pt>
                <c:pt idx="3">
                  <c:v>Sweden </c:v>
                </c:pt>
              </c:strCache>
            </c:strRef>
          </c:cat>
          <c:val>
            <c:numRef>
              <c:f>'FIG 06.3 FIG 06.4'!$D$4:$D$7</c:f>
              <c:numCache>
                <c:formatCode>General</c:formatCode>
                <c:ptCount val="4"/>
                <c:pt idx="0">
                  <c:v>99.49</c:v>
                </c:pt>
                <c:pt idx="1">
                  <c:v>279.31</c:v>
                </c:pt>
                <c:pt idx="2">
                  <c:v>438.86</c:v>
                </c:pt>
                <c:pt idx="3">
                  <c:v>351.03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2C-4D3F-8CAB-F56235896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7451584"/>
        <c:axId val="17207720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06.3 FIG 06.4'!$C$3</c15:sqref>
                        </c15:formulaRef>
                      </c:ext>
                    </c:extLst>
                    <c:strCache>
                      <c:ptCount val="1"/>
                      <c:pt idx="0">
                        <c:v>Units sold per 1000 households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'FIG 06.3 FIG 06.4'!$B$4:$B$7</c15:sqref>
                        </c15:formulaRef>
                      </c:ext>
                    </c:extLst>
                    <c:strCache>
                      <c:ptCount val="4"/>
                      <c:pt idx="0">
                        <c:v>Denmark</c:v>
                      </c:pt>
                      <c:pt idx="1">
                        <c:v>Finland</c:v>
                      </c:pt>
                      <c:pt idx="2">
                        <c:v>Norway</c:v>
                      </c:pt>
                      <c:pt idx="3">
                        <c:v>Sweden 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'FIG 06.3 FIG 06.4'!$C$4:$C$7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11.6</c:v>
                      </c:pt>
                      <c:pt idx="1">
                        <c:v>22.9</c:v>
                      </c:pt>
                      <c:pt idx="2">
                        <c:v>33.200000000000003</c:v>
                      </c:pt>
                      <c:pt idx="3">
                        <c:v>22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52C-4D3F-8CAB-F56235896D83}"/>
                  </c:ext>
                </c:extLst>
              </c15:ser>
            </c15:filteredBarSeries>
          </c:ext>
        </c:extLst>
      </c:barChart>
      <c:catAx>
        <c:axId val="172745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720772016"/>
        <c:crosses val="autoZero"/>
        <c:auto val="1"/>
        <c:lblAlgn val="ctr"/>
        <c:lblOffset val="100"/>
        <c:noMultiLvlLbl val="0"/>
      </c:catAx>
      <c:valAx>
        <c:axId val="172077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72745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>
                <a:effectLst/>
              </a:rPr>
              <a:t>Fig 6.3: Number of heat pumps sold</a:t>
            </a:r>
            <a:endParaRPr lang="da-DK" sz="105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06.3 FIG 06.4'!$B$13</c:f>
              <c:strCache>
                <c:ptCount val="1"/>
                <c:pt idx="0">
                  <c:v>Denmark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 06.3 FIG 06.4'!$D$12:$M$12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'FIG 06.3 FIG 06.4'!$D$18:$M$18</c:f>
              <c:numCache>
                <c:formatCode>General</c:formatCode>
                <c:ptCount val="10"/>
                <c:pt idx="0">
                  <c:v>8523</c:v>
                </c:pt>
                <c:pt idx="1">
                  <c:v>15099</c:v>
                </c:pt>
                <c:pt idx="2">
                  <c:v>24069</c:v>
                </c:pt>
                <c:pt idx="3">
                  <c:v>23160</c:v>
                </c:pt>
                <c:pt idx="4">
                  <c:v>24634</c:v>
                </c:pt>
                <c:pt idx="5">
                  <c:v>30393</c:v>
                </c:pt>
                <c:pt idx="6">
                  <c:v>31269</c:v>
                </c:pt>
                <c:pt idx="7">
                  <c:v>23071</c:v>
                </c:pt>
                <c:pt idx="8">
                  <c:v>28559</c:v>
                </c:pt>
                <c:pt idx="9">
                  <c:v>27457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3A-4CBE-9833-72C42B7B2C8E}"/>
            </c:ext>
          </c:extLst>
        </c:ser>
        <c:ser>
          <c:idx val="1"/>
          <c:order val="1"/>
          <c:tx>
            <c:strRef>
              <c:f>'FIG 06.3 FIG 06.4'!$B$19</c:f>
              <c:strCache>
                <c:ptCount val="1"/>
                <c:pt idx="0">
                  <c:v>Finland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06.3 FIG 06.4'!$D$12:$M$12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'FIG 06.3 FIG 06.4'!$D$24:$M$24</c:f>
              <c:numCache>
                <c:formatCode>General</c:formatCode>
                <c:ptCount val="10"/>
                <c:pt idx="0">
                  <c:v>55500</c:v>
                </c:pt>
                <c:pt idx="1">
                  <c:v>79806</c:v>
                </c:pt>
                <c:pt idx="2">
                  <c:v>67752</c:v>
                </c:pt>
                <c:pt idx="3">
                  <c:v>65050</c:v>
                </c:pt>
                <c:pt idx="4">
                  <c:v>72267</c:v>
                </c:pt>
                <c:pt idx="5">
                  <c:v>60980</c:v>
                </c:pt>
                <c:pt idx="6">
                  <c:v>61211</c:v>
                </c:pt>
                <c:pt idx="7">
                  <c:v>67194</c:v>
                </c:pt>
                <c:pt idx="8">
                  <c:v>58725</c:v>
                </c:pt>
                <c:pt idx="9">
                  <c:v>60160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3A-4CBE-9833-72C42B7B2C8E}"/>
            </c:ext>
          </c:extLst>
        </c:ser>
        <c:ser>
          <c:idx val="2"/>
          <c:order val="2"/>
          <c:tx>
            <c:strRef>
              <c:f>'FIG 06.3 FIG 06.4'!$B$25</c:f>
              <c:strCache>
                <c:ptCount val="1"/>
                <c:pt idx="0">
                  <c:v>Norway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06.3 FIG 06.4'!$D$12:$M$12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'FIG 06.3 FIG 06.4'!$D$30:$M$30</c:f>
              <c:numCache>
                <c:formatCode>General</c:formatCode>
                <c:ptCount val="10"/>
                <c:pt idx="0">
                  <c:v>70300</c:v>
                </c:pt>
                <c:pt idx="1">
                  <c:v>84685</c:v>
                </c:pt>
                <c:pt idx="2">
                  <c:v>84036</c:v>
                </c:pt>
                <c:pt idx="3">
                  <c:v>93842</c:v>
                </c:pt>
                <c:pt idx="4">
                  <c:v>83458</c:v>
                </c:pt>
                <c:pt idx="5">
                  <c:v>67374</c:v>
                </c:pt>
                <c:pt idx="6">
                  <c:v>62496</c:v>
                </c:pt>
                <c:pt idx="7">
                  <c:v>57451</c:v>
                </c:pt>
                <c:pt idx="8">
                  <c:v>65314</c:v>
                </c:pt>
                <c:pt idx="9">
                  <c:v>73123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3A-4CBE-9833-72C42B7B2C8E}"/>
            </c:ext>
          </c:extLst>
        </c:ser>
        <c:ser>
          <c:idx val="3"/>
          <c:order val="3"/>
          <c:tx>
            <c:strRef>
              <c:f>'FIG 06.3 FIG 06.4'!$B$31</c:f>
              <c:strCache>
                <c:ptCount val="1"/>
                <c:pt idx="0">
                  <c:v>Sweden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 06.3 FIG 06.4'!$D$12:$M$12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'FIG 06.3 FIG 06.4'!$D$36:$M$36</c:f>
              <c:numCache>
                <c:formatCode>General</c:formatCode>
                <c:ptCount val="10"/>
                <c:pt idx="0">
                  <c:v>93750</c:v>
                </c:pt>
                <c:pt idx="1">
                  <c:v>133383</c:v>
                </c:pt>
                <c:pt idx="2">
                  <c:v>116900</c:v>
                </c:pt>
                <c:pt idx="3">
                  <c:v>127574</c:v>
                </c:pt>
                <c:pt idx="4">
                  <c:v>106775</c:v>
                </c:pt>
                <c:pt idx="5">
                  <c:v>95107</c:v>
                </c:pt>
                <c:pt idx="6">
                  <c:v>96550</c:v>
                </c:pt>
                <c:pt idx="7">
                  <c:v>95561</c:v>
                </c:pt>
                <c:pt idx="8">
                  <c:v>102996</c:v>
                </c:pt>
                <c:pt idx="9">
                  <c:v>101256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3A-4CBE-9833-72C42B7B2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7904320"/>
        <c:axId val="1594049456"/>
      </c:barChart>
      <c:catAx>
        <c:axId val="181790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594049456"/>
        <c:crosses val="autoZero"/>
        <c:auto val="1"/>
        <c:lblAlgn val="ctr"/>
        <c:lblOffset val="100"/>
        <c:noMultiLvlLbl val="0"/>
      </c:catAx>
      <c:valAx>
        <c:axId val="159404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Units sold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817904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5"/>
          <c:order val="0"/>
          <c:tx>
            <c:strRef>
              <c:f>'FIG 06.5'!$A$10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cat>
            <c:strRef>
              <c:f>'FIG 06.5'!$B$4:$K$4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'FIG 06.5'!$B$10:$K$10</c:f>
              <c:numCache>
                <c:formatCode>#,##0</c:formatCode>
                <c:ptCount val="10"/>
                <c:pt idx="0">
                  <c:v>383126</c:v>
                </c:pt>
                <c:pt idx="1">
                  <c:v>379270</c:v>
                </c:pt>
                <c:pt idx="2">
                  <c:v>394500</c:v>
                </c:pt>
                <c:pt idx="3">
                  <c:v>431768</c:v>
                </c:pt>
                <c:pt idx="4">
                  <c:v>398912</c:v>
                </c:pt>
                <c:pt idx="5">
                  <c:v>415374</c:v>
                </c:pt>
                <c:pt idx="6">
                  <c:v>414222</c:v>
                </c:pt>
                <c:pt idx="7">
                  <c:v>397421</c:v>
                </c:pt>
                <c:pt idx="8">
                  <c:v>408607</c:v>
                </c:pt>
                <c:pt idx="9">
                  <c:v>420987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5A-448A-AAD3-03BD6229FD72}"/>
            </c:ext>
          </c:extLst>
        </c:ser>
        <c:ser>
          <c:idx val="0"/>
          <c:order val="1"/>
          <c:tx>
            <c:strRef>
              <c:f>'FIG 06.5'!$A$5</c:f>
              <c:strCache>
                <c:ptCount val="1"/>
                <c:pt idx="0">
                  <c:v>Coal/peat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cat>
            <c:strRef>
              <c:f>'FIG 06.5'!$B$4:$K$4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'FIG 06.5'!$B$5:$K$5</c:f>
              <c:numCache>
                <c:formatCode>#,##0</c:formatCode>
                <c:ptCount val="10"/>
                <c:pt idx="0">
                  <c:v>472</c:v>
                </c:pt>
                <c:pt idx="1">
                  <c:v>327</c:v>
                </c:pt>
                <c:pt idx="2">
                  <c:v>322</c:v>
                </c:pt>
                <c:pt idx="3">
                  <c:v>358</c:v>
                </c:pt>
                <c:pt idx="4">
                  <c:v>255</c:v>
                </c:pt>
                <c:pt idx="5">
                  <c:v>256</c:v>
                </c:pt>
                <c:pt idx="6">
                  <c:v>218</c:v>
                </c:pt>
                <c:pt idx="7">
                  <c:v>185</c:v>
                </c:pt>
                <c:pt idx="8">
                  <c:v>151</c:v>
                </c:pt>
                <c:pt idx="9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5A-448A-AAD3-03BD6229FD72}"/>
            </c:ext>
          </c:extLst>
        </c:ser>
        <c:ser>
          <c:idx val="1"/>
          <c:order val="2"/>
          <c:tx>
            <c:strRef>
              <c:f>'FIG 06.5'!$A$6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ED7D31"/>
            </a:solidFill>
            <a:ln w="25400">
              <a:noFill/>
            </a:ln>
          </c:spPr>
          <c:cat>
            <c:strRef>
              <c:f>'FIG 06.5'!$B$4:$K$4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'FIG 06.5'!$B$6:$K$6</c:f>
              <c:numCache>
                <c:formatCode>#,##0</c:formatCode>
                <c:ptCount val="10"/>
                <c:pt idx="0">
                  <c:v>63905</c:v>
                </c:pt>
                <c:pt idx="1">
                  <c:v>52368</c:v>
                </c:pt>
                <c:pt idx="2">
                  <c:v>50724</c:v>
                </c:pt>
                <c:pt idx="3">
                  <c:v>63889</c:v>
                </c:pt>
                <c:pt idx="4">
                  <c:v>51723</c:v>
                </c:pt>
                <c:pt idx="5">
                  <c:v>49484</c:v>
                </c:pt>
                <c:pt idx="6">
                  <c:v>46286</c:v>
                </c:pt>
                <c:pt idx="7">
                  <c:v>40101</c:v>
                </c:pt>
                <c:pt idx="8">
                  <c:v>38610</c:v>
                </c:pt>
                <c:pt idx="9">
                  <c:v>38248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5A-448A-AAD3-03BD6229FD72}"/>
            </c:ext>
          </c:extLst>
        </c:ser>
        <c:ser>
          <c:idx val="2"/>
          <c:order val="3"/>
          <c:tx>
            <c:strRef>
              <c:f>'FIG 06.5'!$A$7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A5A5A5"/>
            </a:solidFill>
            <a:ln w="25400">
              <a:noFill/>
            </a:ln>
          </c:spPr>
          <c:cat>
            <c:strRef>
              <c:f>'FIG 06.5'!$B$4:$K$4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'FIG 06.5'!$B$7:$K$7</c:f>
              <c:numCache>
                <c:formatCode>#,##0</c:formatCode>
                <c:ptCount val="10"/>
                <c:pt idx="0">
                  <c:v>30632</c:v>
                </c:pt>
                <c:pt idx="1">
                  <c:v>30463</c:v>
                </c:pt>
                <c:pt idx="2">
                  <c:v>31685</c:v>
                </c:pt>
                <c:pt idx="3">
                  <c:v>37016</c:v>
                </c:pt>
                <c:pt idx="4">
                  <c:v>31676</c:v>
                </c:pt>
                <c:pt idx="5">
                  <c:v>30787</c:v>
                </c:pt>
                <c:pt idx="6">
                  <c:v>30139</c:v>
                </c:pt>
                <c:pt idx="7">
                  <c:v>26404</c:v>
                </c:pt>
                <c:pt idx="8">
                  <c:v>27335</c:v>
                </c:pt>
                <c:pt idx="9">
                  <c:v>28689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5A-448A-AAD3-03BD6229FD72}"/>
            </c:ext>
          </c:extLst>
        </c:ser>
        <c:ser>
          <c:idx val="3"/>
          <c:order val="4"/>
          <c:tx>
            <c:strRef>
              <c:f>'FIG 06.5'!$A$8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cat>
            <c:strRef>
              <c:f>'FIG 06.5'!$B$4:$K$4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'FIG 06.5'!$B$8:$K$8</c:f>
              <c:numCache>
                <c:formatCode>#,##0</c:formatCode>
                <c:ptCount val="10"/>
                <c:pt idx="0">
                  <c:v>136168</c:v>
                </c:pt>
                <c:pt idx="1">
                  <c:v>143973</c:v>
                </c:pt>
                <c:pt idx="2">
                  <c:v>148750</c:v>
                </c:pt>
                <c:pt idx="3">
                  <c:v>161182</c:v>
                </c:pt>
                <c:pt idx="4">
                  <c:v>165381</c:v>
                </c:pt>
                <c:pt idx="5">
                  <c:v>170891</c:v>
                </c:pt>
                <c:pt idx="6">
                  <c:v>152591</c:v>
                </c:pt>
                <c:pt idx="7">
                  <c:v>146919</c:v>
                </c:pt>
                <c:pt idx="8">
                  <c:v>151145</c:v>
                </c:pt>
                <c:pt idx="9">
                  <c:v>158583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5A-448A-AAD3-03BD6229FD72}"/>
            </c:ext>
          </c:extLst>
        </c:ser>
        <c:ser>
          <c:idx val="4"/>
          <c:order val="5"/>
          <c:tx>
            <c:strRef>
              <c:f>'FIG 06.5'!$A$9</c:f>
              <c:strCache>
                <c:ptCount val="1"/>
                <c:pt idx="0">
                  <c:v>District heat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cat>
            <c:strRef>
              <c:f>'FIG 06.5'!$B$4:$K$4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'FIG 06.5'!$B$9:$K$9</c:f>
              <c:numCache>
                <c:formatCode>#,##0</c:formatCode>
                <c:ptCount val="10"/>
                <c:pt idx="0">
                  <c:v>242171</c:v>
                </c:pt>
                <c:pt idx="1">
                  <c:v>242160</c:v>
                </c:pt>
                <c:pt idx="2">
                  <c:v>253169</c:v>
                </c:pt>
                <c:pt idx="3">
                  <c:v>299997</c:v>
                </c:pt>
                <c:pt idx="4">
                  <c:v>249549</c:v>
                </c:pt>
                <c:pt idx="5">
                  <c:v>268929</c:v>
                </c:pt>
                <c:pt idx="6">
                  <c:v>263474</c:v>
                </c:pt>
                <c:pt idx="7">
                  <c:v>247564</c:v>
                </c:pt>
                <c:pt idx="8">
                  <c:v>252106</c:v>
                </c:pt>
                <c:pt idx="9">
                  <c:v>271083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5A-448A-AAD3-03BD6229F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541439"/>
        <c:axId val="1"/>
      </c:areaChart>
      <c:catAx>
        <c:axId val="16905414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PJ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690541439"/>
        <c:crosses val="autoZero"/>
        <c:crossBetween val="midCat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080880951333592"/>
          <c:y val="0.16788866507965575"/>
          <c:w val="0.12989237378847196"/>
          <c:h val="0.58396020264908743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100">
                <a:effectLst/>
              </a:rPr>
              <a:t>Fig 6.5: Final energy consumption (PJ) in the Nordic residential sector</a:t>
            </a:r>
            <a:endParaRPr lang="da-DK" sz="1100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'FIG 06.5'!$A$10</c:f>
              <c:strCache>
                <c:ptCount val="1"/>
                <c:pt idx="0">
                  <c:v>Electricity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'FIG 06.5'!$B$4:$M$4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strCache>
            </c:strRef>
          </c:cat>
          <c:val>
            <c:numRef>
              <c:f>'FIG 06.5'!$B$10:$M$10</c:f>
              <c:numCache>
                <c:formatCode>#,##0</c:formatCode>
                <c:ptCount val="12"/>
                <c:pt idx="0">
                  <c:v>383126</c:v>
                </c:pt>
                <c:pt idx="1">
                  <c:v>379270</c:v>
                </c:pt>
                <c:pt idx="2">
                  <c:v>394500</c:v>
                </c:pt>
                <c:pt idx="3">
                  <c:v>431768</c:v>
                </c:pt>
                <c:pt idx="4">
                  <c:v>398912</c:v>
                </c:pt>
                <c:pt idx="5">
                  <c:v>415374</c:v>
                </c:pt>
                <c:pt idx="6">
                  <c:v>414222</c:v>
                </c:pt>
                <c:pt idx="7">
                  <c:v>397421</c:v>
                </c:pt>
                <c:pt idx="8">
                  <c:v>408607</c:v>
                </c:pt>
                <c:pt idx="9">
                  <c:v>420987</c:v>
                </c:pt>
                <c:pt idx="10">
                  <c:v>424867.04640000005</c:v>
                </c:pt>
                <c:pt idx="11">
                  <c:v>427388.73480000009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50-4AF3-BEF3-52CA674D8655}"/>
            </c:ext>
          </c:extLst>
        </c:ser>
        <c:ser>
          <c:idx val="3"/>
          <c:order val="1"/>
          <c:tx>
            <c:strRef>
              <c:f>'FIG 06.5'!$A$9</c:f>
              <c:strCache>
                <c:ptCount val="1"/>
                <c:pt idx="0">
                  <c:v>District heat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 06.5'!$B$4:$M$4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strCache>
            </c:strRef>
          </c:cat>
          <c:val>
            <c:numRef>
              <c:f>'FIG 06.5'!$B$9:$M$9</c:f>
              <c:numCache>
                <c:formatCode>#,##0</c:formatCode>
                <c:ptCount val="12"/>
                <c:pt idx="0">
                  <c:v>242171</c:v>
                </c:pt>
                <c:pt idx="1">
                  <c:v>242160</c:v>
                </c:pt>
                <c:pt idx="2">
                  <c:v>253169</c:v>
                </c:pt>
                <c:pt idx="3">
                  <c:v>299997</c:v>
                </c:pt>
                <c:pt idx="4">
                  <c:v>249549</c:v>
                </c:pt>
                <c:pt idx="5">
                  <c:v>268929</c:v>
                </c:pt>
                <c:pt idx="6">
                  <c:v>263474</c:v>
                </c:pt>
                <c:pt idx="7">
                  <c:v>247564</c:v>
                </c:pt>
                <c:pt idx="8">
                  <c:v>252106</c:v>
                </c:pt>
                <c:pt idx="9">
                  <c:v>271083</c:v>
                </c:pt>
                <c:pt idx="10">
                  <c:v>267735.87100000004</c:v>
                </c:pt>
                <c:pt idx="11">
                  <c:v>266940.44900000002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50-4AF3-BEF3-52CA674D8655}"/>
            </c:ext>
          </c:extLst>
        </c:ser>
        <c:ser>
          <c:idx val="2"/>
          <c:order val="2"/>
          <c:tx>
            <c:strRef>
              <c:f>'FIG 06.5'!$A$8</c:f>
              <c:strCache>
                <c:ptCount val="1"/>
                <c:pt idx="0">
                  <c:v>Biomass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 06.5'!$B$4:$M$4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strCache>
            </c:strRef>
          </c:cat>
          <c:val>
            <c:numRef>
              <c:f>'FIG 06.5'!$B$8:$M$8</c:f>
              <c:numCache>
                <c:formatCode>#,##0</c:formatCode>
                <c:ptCount val="12"/>
                <c:pt idx="0">
                  <c:v>136168</c:v>
                </c:pt>
                <c:pt idx="1">
                  <c:v>143973</c:v>
                </c:pt>
                <c:pt idx="2">
                  <c:v>148750</c:v>
                </c:pt>
                <c:pt idx="3">
                  <c:v>161182</c:v>
                </c:pt>
                <c:pt idx="4">
                  <c:v>165381</c:v>
                </c:pt>
                <c:pt idx="5">
                  <c:v>170891</c:v>
                </c:pt>
                <c:pt idx="6">
                  <c:v>152591</c:v>
                </c:pt>
                <c:pt idx="7">
                  <c:v>146919</c:v>
                </c:pt>
                <c:pt idx="8">
                  <c:v>151145</c:v>
                </c:pt>
                <c:pt idx="9">
                  <c:v>158583</c:v>
                </c:pt>
                <c:pt idx="10">
                  <c:v>155643.94100000002</c:v>
                </c:pt>
                <c:pt idx="11">
                  <c:v>149209.51800000001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50-4AF3-BEF3-52CA674D8655}"/>
            </c:ext>
          </c:extLst>
        </c:ser>
        <c:ser>
          <c:idx val="0"/>
          <c:order val="3"/>
          <c:tx>
            <c:strRef>
              <c:f>'FIG 06.5'!$A$6</c:f>
              <c:strCache>
                <c:ptCount val="1"/>
                <c:pt idx="0">
                  <c:v>Oil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 06.5'!$B$4:$M$4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strCache>
            </c:strRef>
          </c:cat>
          <c:val>
            <c:numRef>
              <c:f>'FIG 06.5'!$B$6:$M$6</c:f>
              <c:numCache>
                <c:formatCode>#,##0</c:formatCode>
                <c:ptCount val="12"/>
                <c:pt idx="0">
                  <c:v>63905</c:v>
                </c:pt>
                <c:pt idx="1">
                  <c:v>52368</c:v>
                </c:pt>
                <c:pt idx="2">
                  <c:v>50724</c:v>
                </c:pt>
                <c:pt idx="3">
                  <c:v>63889</c:v>
                </c:pt>
                <c:pt idx="4">
                  <c:v>51723</c:v>
                </c:pt>
                <c:pt idx="5">
                  <c:v>49484</c:v>
                </c:pt>
                <c:pt idx="6">
                  <c:v>46286</c:v>
                </c:pt>
                <c:pt idx="7">
                  <c:v>40101</c:v>
                </c:pt>
                <c:pt idx="8">
                  <c:v>38610</c:v>
                </c:pt>
                <c:pt idx="9">
                  <c:v>38248</c:v>
                </c:pt>
                <c:pt idx="10">
                  <c:v>35749.163086</c:v>
                </c:pt>
                <c:pt idx="11">
                  <c:v>33315.696240000005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50-4AF3-BEF3-52CA674D8655}"/>
            </c:ext>
          </c:extLst>
        </c:ser>
        <c:ser>
          <c:idx val="1"/>
          <c:order val="4"/>
          <c:tx>
            <c:strRef>
              <c:f>'FIG 06.5'!$A$7</c:f>
              <c:strCache>
                <c:ptCount val="1"/>
                <c:pt idx="0">
                  <c:v>Gas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 06.5'!$B$4:$M$4</c:f>
              <c:strCach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strCache>
            </c:strRef>
          </c:cat>
          <c:val>
            <c:numRef>
              <c:f>'FIG 06.5'!$B$7:$M$7</c:f>
              <c:numCache>
                <c:formatCode>#,##0</c:formatCode>
                <c:ptCount val="12"/>
                <c:pt idx="0">
                  <c:v>30632</c:v>
                </c:pt>
                <c:pt idx="1">
                  <c:v>30463</c:v>
                </c:pt>
                <c:pt idx="2">
                  <c:v>31685</c:v>
                </c:pt>
                <c:pt idx="3">
                  <c:v>37016</c:v>
                </c:pt>
                <c:pt idx="4">
                  <c:v>31676</c:v>
                </c:pt>
                <c:pt idx="5">
                  <c:v>30787</c:v>
                </c:pt>
                <c:pt idx="6">
                  <c:v>30139</c:v>
                </c:pt>
                <c:pt idx="7">
                  <c:v>26404</c:v>
                </c:pt>
                <c:pt idx="8">
                  <c:v>27335</c:v>
                </c:pt>
                <c:pt idx="9">
                  <c:v>28689</c:v>
                </c:pt>
                <c:pt idx="10">
                  <c:v>28977.0471</c:v>
                </c:pt>
                <c:pt idx="11">
                  <c:v>28178.1198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50-4AF3-BEF3-52CA674D8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0544639"/>
        <c:axId val="1"/>
      </c:lineChart>
      <c:catAx>
        <c:axId val="1690544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a-DK"/>
                  <a:t>PJ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690544639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772496395697015"/>
          <c:y val="0.22881436116781698"/>
          <c:w val="0.14033861964437544"/>
          <c:h val="0.3333356663750364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13018" y="4569199"/>
    <xdr:ext cx="7773100" cy="274488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F55DD0-701E-450A-B5E3-C4919C413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 editAs="absolute">
    <xdr:from>
      <xdr:col>1</xdr:col>
      <xdr:colOff>224117</xdr:colOff>
      <xdr:row>60</xdr:row>
      <xdr:rowOff>100853</xdr:rowOff>
    </xdr:from>
    <xdr:to>
      <xdr:col>13</xdr:col>
      <xdr:colOff>330357</xdr:colOff>
      <xdr:row>74</xdr:row>
      <xdr:rowOff>184847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B93A59-9FB7-4420-94DF-F387F92BA7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770553</xdr:colOff>
      <xdr:row>21</xdr:row>
      <xdr:rowOff>22117</xdr:rowOff>
    </xdr:from>
    <xdr:to>
      <xdr:col>21</xdr:col>
      <xdr:colOff>459441</xdr:colOff>
      <xdr:row>35</xdr:row>
      <xdr:rowOff>89970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70D87C62-003E-46EC-BEDB-1BEA07A0DCE2}"/>
            </a:ext>
          </a:extLst>
        </xdr:cNvPr>
        <xdr:cNvGrpSpPr/>
      </xdr:nvGrpSpPr>
      <xdr:grpSpPr>
        <a:xfrm>
          <a:off x="9196515" y="4630752"/>
          <a:ext cx="4817734" cy="2742180"/>
          <a:chOff x="9177619" y="4639235"/>
          <a:chExt cx="4807322" cy="274488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11DB7737-6EFC-4260-B69D-58C62E688F51}"/>
              </a:ext>
            </a:extLst>
          </xdr:cNvPr>
          <xdr:cNvGraphicFramePr>
            <a:graphicFrameLocks/>
          </xdr:cNvGraphicFramePr>
        </xdr:nvGraphicFramePr>
        <xdr:xfrm>
          <a:off x="9177619" y="4639235"/>
          <a:ext cx="4807322" cy="27448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cxnSp macro="">
        <xdr:nvCxnSpPr>
          <xdr:cNvPr id="6" name="Straight Connector 5">
            <a:extLst>
              <a:ext uri="{FF2B5EF4-FFF2-40B4-BE49-F238E27FC236}">
                <a16:creationId xmlns:a16="http://schemas.microsoft.com/office/drawing/2014/main" id="{9DED9949-A1DF-42A5-AB34-20B5F0089568}"/>
              </a:ext>
            </a:extLst>
          </xdr:cNvPr>
          <xdr:cNvCxnSpPr/>
        </xdr:nvCxnSpPr>
        <xdr:spPr>
          <a:xfrm>
            <a:off x="10128290" y="4934807"/>
            <a:ext cx="0" cy="2195174"/>
          </a:xfrm>
          <a:prstGeom prst="line">
            <a:avLst/>
          </a:prstGeom>
          <a:ln w="9525">
            <a:headEnd type="none"/>
            <a:tailEnd type="non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1484913</xdr:colOff>
      <xdr:row>69</xdr:row>
      <xdr:rowOff>187532</xdr:rowOff>
    </xdr:from>
    <xdr:to>
      <xdr:col>18</xdr:col>
      <xdr:colOff>377313</xdr:colOff>
      <xdr:row>102</xdr:row>
      <xdr:rowOff>152153</xdr:rowOff>
    </xdr:to>
    <xdr:graphicFrame macro="">
      <xdr:nvGraphicFramePr>
        <xdr:cNvPr id="5" name="Diagram 2">
          <a:extLst>
            <a:ext uri="{FF2B5EF4-FFF2-40B4-BE49-F238E27FC236}">
              <a16:creationId xmlns:a16="http://schemas.microsoft.com/office/drawing/2014/main" id="{939A30AB-2603-4284-902D-6A67B5017D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28574</xdr:rowOff>
    </xdr:from>
    <xdr:to>
      <xdr:col>12</xdr:col>
      <xdr:colOff>47625</xdr:colOff>
      <xdr:row>10</xdr:row>
      <xdr:rowOff>138111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4BC82A-4BA4-4250-AE9B-030EB9552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157162</xdr:colOff>
      <xdr:row>22</xdr:row>
      <xdr:rowOff>176212</xdr:rowOff>
    </xdr:from>
    <xdr:to>
      <xdr:col>21</xdr:col>
      <xdr:colOff>461962</xdr:colOff>
      <xdr:row>37</xdr:row>
      <xdr:rowOff>61912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C56475-CB9D-4956-8786-F23CA3BD4B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533400</xdr:colOff>
      <xdr:row>1</xdr:row>
      <xdr:rowOff>38100</xdr:rowOff>
    </xdr:from>
    <xdr:to>
      <xdr:col>23</xdr:col>
      <xdr:colOff>495300</xdr:colOff>
      <xdr:row>24</xdr:row>
      <xdr:rowOff>152400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id="{E760D8F8-7147-4555-AFA7-7B662DB98B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523875</xdr:colOff>
      <xdr:row>25</xdr:row>
      <xdr:rowOff>47625</xdr:rowOff>
    </xdr:from>
    <xdr:to>
      <xdr:col>23</xdr:col>
      <xdr:colOff>428625</xdr:colOff>
      <xdr:row>46</xdr:row>
      <xdr:rowOff>104775</xdr:rowOff>
    </xdr:to>
    <xdr:graphicFrame macro="">
      <xdr:nvGraphicFramePr>
        <xdr:cNvPr id="3" name="Diagram 3">
          <a:extLst>
            <a:ext uri="{FF2B5EF4-FFF2-40B4-BE49-F238E27FC236}">
              <a16:creationId xmlns:a16="http://schemas.microsoft.com/office/drawing/2014/main" id="{33A924DF-92A4-4425-85D1-585844581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b\AppData\Local\Temp\Temp1_NETP2016_chapter_1.zip\NETP2016_figure_01_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P2016 Figure 1_20"/>
    </sheetNames>
    <sheetDataSet>
      <sheetData sheetId="0">
        <row r="14">
          <cell r="C14" t="str">
            <v>TWh</v>
          </cell>
        </row>
        <row r="40">
          <cell r="C40">
            <v>2013</v>
          </cell>
          <cell r="J40">
            <v>2020</v>
          </cell>
          <cell r="T40">
            <v>2030</v>
          </cell>
          <cell r="AD40">
            <v>2040</v>
          </cell>
          <cell r="AN40">
            <v>2050</v>
          </cell>
        </row>
        <row r="41">
          <cell r="B41" t="str">
            <v>Oil</v>
          </cell>
          <cell r="C41">
            <v>3.8275000000000001</v>
          </cell>
          <cell r="D41">
            <v>4.3127988627710794</v>
          </cell>
          <cell r="E41">
            <v>4.7980977255421591</v>
          </cell>
          <cell r="F41">
            <v>4.6991520602319428</v>
          </cell>
          <cell r="G41">
            <v>4.6002063949217264</v>
          </cell>
          <cell r="H41">
            <v>4.5012607296115101</v>
          </cell>
          <cell r="I41">
            <v>4.4023150643012938</v>
          </cell>
          <cell r="J41">
            <v>4.3033693989910766</v>
          </cell>
          <cell r="K41">
            <v>3.8010755772909999</v>
          </cell>
          <cell r="L41">
            <v>3.2987817555909231</v>
          </cell>
          <cell r="M41">
            <v>2.7964879338908464</v>
          </cell>
          <cell r="N41">
            <v>2.2941941121907696</v>
          </cell>
          <cell r="O41">
            <v>1.7919002904906915</v>
          </cell>
          <cell r="P41">
            <v>1.5383030284291348</v>
          </cell>
          <cell r="Q41">
            <v>1.2847057663675781</v>
          </cell>
          <cell r="R41">
            <v>1.0311085043060213</v>
          </cell>
          <cell r="S41">
            <v>0.77751124224446455</v>
          </cell>
          <cell r="T41">
            <v>0.5239139801829078</v>
          </cell>
          <cell r="U41">
            <v>0.54305666576988676</v>
          </cell>
          <cell r="V41">
            <v>0.56219935135686572</v>
          </cell>
          <cell r="W41">
            <v>0.58134203694384468</v>
          </cell>
          <cell r="X41">
            <v>0.60048472253082363</v>
          </cell>
          <cell r="Y41">
            <v>0.6196274081178027</v>
          </cell>
          <cell r="Z41">
            <v>0.49867492812031189</v>
          </cell>
          <cell r="AA41">
            <v>0.37772244812282108</v>
          </cell>
          <cell r="AB41">
            <v>0.25676996812533026</v>
          </cell>
          <cell r="AC41">
            <v>0.13581748812783945</v>
          </cell>
          <cell r="AD41">
            <v>1.4865008130348656E-2</v>
          </cell>
          <cell r="AE41">
            <v>1.4864908380885321E-2</v>
          </cell>
          <cell r="AF41">
            <v>1.4864808631421986E-2</v>
          </cell>
          <cell r="AG41">
            <v>1.4864708881958651E-2</v>
          </cell>
          <cell r="AH41">
            <v>1.4864609132495316E-2</v>
          </cell>
          <cell r="AI41">
            <v>1.4864509383031979E-2</v>
          </cell>
          <cell r="AJ41">
            <v>1.1893065613062141E-2</v>
          </cell>
          <cell r="AK41">
            <v>8.9216218430923019E-3</v>
          </cell>
          <cell r="AL41">
            <v>5.9501780731224634E-3</v>
          </cell>
          <cell r="AM41">
            <v>2.9787343031526248E-3</v>
          </cell>
          <cell r="AN41">
            <v>7.2905331827858858E-6</v>
          </cell>
        </row>
        <row r="42">
          <cell r="B42" t="str">
            <v>Coal</v>
          </cell>
          <cell r="C42">
            <v>30.149722222222223</v>
          </cell>
          <cell r="D42">
            <v>30.376084413511371</v>
          </cell>
          <cell r="E42">
            <v>30.602446604800516</v>
          </cell>
          <cell r="F42">
            <v>30.836894658646397</v>
          </cell>
          <cell r="G42">
            <v>31.071342712492278</v>
          </cell>
          <cell r="H42">
            <v>31.305790766338159</v>
          </cell>
          <cell r="I42">
            <v>31.54023882018404</v>
          </cell>
          <cell r="J42">
            <v>31.774686874029925</v>
          </cell>
          <cell r="K42">
            <v>31.286574899355497</v>
          </cell>
          <cell r="L42">
            <v>30.798462924681068</v>
          </cell>
          <cell r="M42">
            <v>30.31035095000664</v>
          </cell>
          <cell r="N42">
            <v>29.822238975332212</v>
          </cell>
          <cell r="O42">
            <v>29.33412700065778</v>
          </cell>
          <cell r="P42">
            <v>26.647448935180126</v>
          </cell>
          <cell r="Q42">
            <v>23.960770869702472</v>
          </cell>
          <cell r="R42">
            <v>21.274092804224818</v>
          </cell>
          <cell r="S42">
            <v>18.587414738747164</v>
          </cell>
          <cell r="T42">
            <v>15.900736673269504</v>
          </cell>
          <cell r="U42">
            <v>13.661964906351429</v>
          </cell>
          <cell r="V42">
            <v>11.423193139433355</v>
          </cell>
          <cell r="W42">
            <v>9.1844213725152812</v>
          </cell>
          <cell r="X42">
            <v>6.9456496055972066</v>
          </cell>
          <cell r="Y42">
            <v>4.706877838679131</v>
          </cell>
          <cell r="Z42">
            <v>3.9725220186495851</v>
          </cell>
          <cell r="AA42">
            <v>3.2381661986200392</v>
          </cell>
          <cell r="AB42">
            <v>2.5038103785904933</v>
          </cell>
          <cell r="AC42">
            <v>1.7694545585609474</v>
          </cell>
          <cell r="AD42">
            <v>1.035098738531401</v>
          </cell>
          <cell r="AE42">
            <v>1.0350984331740076</v>
          </cell>
          <cell r="AF42">
            <v>1.0350981278166143</v>
          </cell>
          <cell r="AG42">
            <v>1.0350978224592209</v>
          </cell>
          <cell r="AH42">
            <v>1.0350975171018275</v>
          </cell>
          <cell r="AI42">
            <v>1.0350972117444344</v>
          </cell>
          <cell r="AJ42">
            <v>0.98334248869381413</v>
          </cell>
          <cell r="AK42">
            <v>0.9315877656431939</v>
          </cell>
          <cell r="AL42">
            <v>0.87983304259257367</v>
          </cell>
          <cell r="AM42">
            <v>0.82807831954195343</v>
          </cell>
          <cell r="AN42">
            <v>0.77632359649133298</v>
          </cell>
        </row>
        <row r="43">
          <cell r="B43" t="str">
            <v>Natural gas</v>
          </cell>
          <cell r="C43">
            <v>20.735555555555553</v>
          </cell>
          <cell r="D43">
            <v>23.194448695596897</v>
          </cell>
          <cell r="E43">
            <v>25.653341835638241</v>
          </cell>
          <cell r="F43">
            <v>25.088832734752174</v>
          </cell>
          <cell r="G43">
            <v>24.524323633866107</v>
          </cell>
          <cell r="H43">
            <v>23.95981453298004</v>
          </cell>
          <cell r="I43">
            <v>23.395305432093974</v>
          </cell>
          <cell r="J43">
            <v>22.830796331207903</v>
          </cell>
          <cell r="K43">
            <v>21.894555659631706</v>
          </cell>
          <cell r="L43">
            <v>20.958314988055509</v>
          </cell>
          <cell r="M43">
            <v>20.022074316479312</v>
          </cell>
          <cell r="N43">
            <v>19.085833644903115</v>
          </cell>
          <cell r="O43">
            <v>18.149592973326914</v>
          </cell>
          <cell r="P43">
            <v>17.672795772932936</v>
          </cell>
          <cell r="Q43">
            <v>17.195998572538958</v>
          </cell>
          <cell r="R43">
            <v>16.71920137214498</v>
          </cell>
          <cell r="S43">
            <v>16.242404171751001</v>
          </cell>
          <cell r="T43">
            <v>15.765606971357029</v>
          </cell>
          <cell r="U43">
            <v>14.221457964976176</v>
          </cell>
          <cell r="V43">
            <v>12.677308958595324</v>
          </cell>
          <cell r="W43">
            <v>11.133159952214472</v>
          </cell>
          <cell r="X43">
            <v>9.5890109458336195</v>
          </cell>
          <cell r="Y43">
            <v>8.0448619394527707</v>
          </cell>
          <cell r="Z43">
            <v>7.5455721385360564</v>
          </cell>
          <cell r="AA43">
            <v>7.046282337619342</v>
          </cell>
          <cell r="AB43">
            <v>6.5469925367026276</v>
          </cell>
          <cell r="AC43">
            <v>6.0477027357859132</v>
          </cell>
          <cell r="AD43">
            <v>5.5484129348691988</v>
          </cell>
          <cell r="AE43">
            <v>5.0381325259056391</v>
          </cell>
          <cell r="AF43">
            <v>4.5278521169420793</v>
          </cell>
          <cell r="AG43">
            <v>4.0175717079785196</v>
          </cell>
          <cell r="AH43">
            <v>3.5072912990149594</v>
          </cell>
          <cell r="AI43">
            <v>2.9970108900513983</v>
          </cell>
          <cell r="AJ43">
            <v>2.5318781948036291</v>
          </cell>
          <cell r="AK43">
            <v>2.0667454995558598</v>
          </cell>
          <cell r="AL43">
            <v>1.6016128043080906</v>
          </cell>
          <cell r="AM43">
            <v>1.1364801090603214</v>
          </cell>
          <cell r="AN43">
            <v>0.67134741381255258</v>
          </cell>
        </row>
        <row r="44">
          <cell r="B44" t="str">
            <v>Biomass and Waste</v>
          </cell>
          <cell r="C44">
            <v>84.961666666666659</v>
          </cell>
          <cell r="D44">
            <v>79.647567894684954</v>
          </cell>
          <cell r="E44">
            <v>74.333469122703235</v>
          </cell>
          <cell r="F44">
            <v>75.957705152974953</v>
          </cell>
          <cell r="G44">
            <v>77.58194118324667</v>
          </cell>
          <cell r="H44">
            <v>79.206177213518387</v>
          </cell>
          <cell r="I44">
            <v>80.830413243790105</v>
          </cell>
          <cell r="J44">
            <v>82.454649274061836</v>
          </cell>
          <cell r="K44">
            <v>84.697916733655987</v>
          </cell>
          <cell r="L44">
            <v>86.941184193250137</v>
          </cell>
          <cell r="M44">
            <v>89.184451652844288</v>
          </cell>
          <cell r="N44">
            <v>91.427719112438439</v>
          </cell>
          <cell r="O44">
            <v>93.670986572032561</v>
          </cell>
          <cell r="P44">
            <v>95.620979214325956</v>
          </cell>
          <cell r="Q44">
            <v>97.570971856619352</v>
          </cell>
          <cell r="R44">
            <v>99.520964498912747</v>
          </cell>
          <cell r="S44">
            <v>101.47095714120614</v>
          </cell>
          <cell r="T44">
            <v>103.42094978349957</v>
          </cell>
          <cell r="U44">
            <v>103.12197852951394</v>
          </cell>
          <cell r="V44">
            <v>102.82300727552831</v>
          </cell>
          <cell r="W44">
            <v>102.52403602154268</v>
          </cell>
          <cell r="X44">
            <v>102.22506476755706</v>
          </cell>
          <cell r="Y44">
            <v>101.92609351357144</v>
          </cell>
          <cell r="Z44">
            <v>100.05070209448542</v>
          </cell>
          <cell r="AA44">
            <v>98.175310675399388</v>
          </cell>
          <cell r="AB44">
            <v>96.299919256313359</v>
          </cell>
          <cell r="AC44">
            <v>94.42452783722733</v>
          </cell>
          <cell r="AD44">
            <v>92.549136418141273</v>
          </cell>
          <cell r="AE44">
            <v>91.773115676369216</v>
          </cell>
          <cell r="AF44">
            <v>90.997094934597158</v>
          </cell>
          <cell r="AG44">
            <v>90.2210741928251</v>
          </cell>
          <cell r="AH44">
            <v>89.445053451053042</v>
          </cell>
          <cell r="AI44">
            <v>88.669032709280984</v>
          </cell>
          <cell r="AJ44">
            <v>84.658457260497102</v>
          </cell>
          <cell r="AK44">
            <v>80.647881811713219</v>
          </cell>
          <cell r="AL44">
            <v>76.637306362929337</v>
          </cell>
          <cell r="AM44">
            <v>72.626730914145455</v>
          </cell>
          <cell r="AN44">
            <v>68.616155465361601</v>
          </cell>
        </row>
        <row r="45">
          <cell r="B45" t="str">
            <v>Geothermal</v>
          </cell>
          <cell r="C45">
            <v>6.4649999999999999</v>
          </cell>
          <cell r="D45">
            <v>6.5153591230027903</v>
          </cell>
          <cell r="E45">
            <v>6.5657182460055799</v>
          </cell>
          <cell r="F45">
            <v>6.6176603801264742</v>
          </cell>
          <cell r="G45">
            <v>6.6696025142473685</v>
          </cell>
          <cell r="H45">
            <v>6.7215446483682628</v>
          </cell>
          <cell r="I45">
            <v>6.7734867824891571</v>
          </cell>
          <cell r="J45">
            <v>6.8254289166100524</v>
          </cell>
          <cell r="K45">
            <v>6.826636893561024</v>
          </cell>
          <cell r="L45">
            <v>6.8278448705119956</v>
          </cell>
          <cell r="M45">
            <v>6.8290528474629673</v>
          </cell>
          <cell r="N45">
            <v>6.8302608244139389</v>
          </cell>
          <cell r="O45">
            <v>6.8314688013649096</v>
          </cell>
          <cell r="P45">
            <v>6.8115948759062563</v>
          </cell>
          <cell r="Q45">
            <v>6.791720950447603</v>
          </cell>
          <cell r="R45">
            <v>6.7718470249889497</v>
          </cell>
          <cell r="S45">
            <v>6.7519730995302965</v>
          </cell>
          <cell r="T45">
            <v>6.732099174071644</v>
          </cell>
          <cell r="U45">
            <v>6.6890132804199816</v>
          </cell>
          <cell r="V45">
            <v>6.6459273867683191</v>
          </cell>
          <cell r="W45">
            <v>6.6028414931166566</v>
          </cell>
          <cell r="X45">
            <v>6.5597555994649941</v>
          </cell>
          <cell r="Y45">
            <v>6.5166697058133325</v>
          </cell>
          <cell r="Z45">
            <v>6.4600255896068175</v>
          </cell>
          <cell r="AA45">
            <v>6.4033814734003025</v>
          </cell>
          <cell r="AB45">
            <v>6.3467373571937875</v>
          </cell>
          <cell r="AC45">
            <v>6.2900932409872725</v>
          </cell>
          <cell r="AD45">
            <v>6.2334491247807566</v>
          </cell>
          <cell r="AE45">
            <v>6.1814713276588904</v>
          </cell>
          <cell r="AF45">
            <v>6.1294935305370242</v>
          </cell>
          <cell r="AG45">
            <v>6.0775157334151579</v>
          </cell>
          <cell r="AH45">
            <v>6.0255379362932917</v>
          </cell>
          <cell r="AI45">
            <v>5.9735601391714255</v>
          </cell>
          <cell r="AJ45">
            <v>5.907926046009381</v>
          </cell>
          <cell r="AK45">
            <v>5.8422919528473365</v>
          </cell>
          <cell r="AL45">
            <v>5.776657859685292</v>
          </cell>
          <cell r="AM45">
            <v>5.7110237665232475</v>
          </cell>
          <cell r="AN45">
            <v>5.6453896733612021</v>
          </cell>
        </row>
        <row r="46">
          <cell r="B46" t="str">
            <v>Electricity</v>
          </cell>
          <cell r="C46">
            <v>1.3469444444444445</v>
          </cell>
          <cell r="D46">
            <v>2.2538096058180699</v>
          </cell>
          <cell r="E46">
            <v>3.1606747671916948</v>
          </cell>
          <cell r="F46">
            <v>3.4019018946069113</v>
          </cell>
          <cell r="G46">
            <v>3.6431290220221277</v>
          </cell>
          <cell r="H46">
            <v>3.8843561494373442</v>
          </cell>
          <cell r="I46">
            <v>4.1255832768525611</v>
          </cell>
          <cell r="J46">
            <v>4.3668104042677776</v>
          </cell>
          <cell r="K46">
            <v>4.2404086924830757</v>
          </cell>
          <cell r="L46">
            <v>4.1140069806983739</v>
          </cell>
          <cell r="M46">
            <v>3.9876052689136725</v>
          </cell>
          <cell r="N46">
            <v>3.8612035571289711</v>
          </cell>
          <cell r="O46">
            <v>3.7348018453442697</v>
          </cell>
          <cell r="P46">
            <v>4.977293048466656</v>
          </cell>
          <cell r="Q46">
            <v>6.2197842515890418</v>
          </cell>
          <cell r="R46">
            <v>7.4622754547114276</v>
          </cell>
          <cell r="S46">
            <v>8.7047666578338134</v>
          </cell>
          <cell r="T46">
            <v>9.9472578609561992</v>
          </cell>
          <cell r="U46">
            <v>13.467192488532829</v>
          </cell>
          <cell r="V46">
            <v>16.987127116109459</v>
          </cell>
          <cell r="W46">
            <v>20.507061743686091</v>
          </cell>
          <cell r="X46">
            <v>24.026996371262722</v>
          </cell>
          <cell r="Y46">
            <v>27.54693099883935</v>
          </cell>
          <cell r="Z46">
            <v>30.376893688473025</v>
          </cell>
          <cell r="AA46">
            <v>33.2068563781067</v>
          </cell>
          <cell r="AB46">
            <v>36.036819067740375</v>
          </cell>
          <cell r="AC46">
            <v>38.866781757374049</v>
          </cell>
          <cell r="AD46">
            <v>41.696744447007724</v>
          </cell>
          <cell r="AE46">
            <v>42.597385632767242</v>
          </cell>
          <cell r="AF46">
            <v>43.49802681852676</v>
          </cell>
          <cell r="AG46">
            <v>44.398668004286279</v>
          </cell>
          <cell r="AH46">
            <v>45.299309190045797</v>
          </cell>
          <cell r="AI46">
            <v>46.199950375805308</v>
          </cell>
          <cell r="AJ46">
            <v>50.720085397647544</v>
          </cell>
          <cell r="AK46">
            <v>55.240220419489781</v>
          </cell>
          <cell r="AL46">
            <v>59.760355441332017</v>
          </cell>
          <cell r="AM46">
            <v>64.280490463174246</v>
          </cell>
          <cell r="AN46">
            <v>68.800625485016482</v>
          </cell>
        </row>
        <row r="47">
          <cell r="B47" t="str">
            <v>Other</v>
          </cell>
          <cell r="C47">
            <v>8.3480555555555558</v>
          </cell>
          <cell r="D47">
            <v>4.1740277777777779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ETP2012">
    <a:dk1>
      <a:srgbClr val="000000"/>
    </a:dk1>
    <a:lt1>
      <a:srgbClr val="FFFFFF"/>
    </a:lt1>
    <a:dk2>
      <a:srgbClr val="488652"/>
    </a:dk2>
    <a:lt2>
      <a:srgbClr val="8BC669"/>
    </a:lt2>
    <a:accent1>
      <a:srgbClr val="00B3D2"/>
    </a:accent1>
    <a:accent2>
      <a:srgbClr val="00678E"/>
    </a:accent2>
    <a:accent3>
      <a:srgbClr val="948BB3"/>
    </a:accent3>
    <a:accent4>
      <a:srgbClr val="91547F"/>
    </a:accent4>
    <a:accent5>
      <a:srgbClr val="E5B951"/>
    </a:accent5>
    <a:accent6>
      <a:srgbClr val="D87D45"/>
    </a:accent6>
    <a:hlink>
      <a:srgbClr val="000000"/>
    </a:hlink>
    <a:folHlink>
      <a:srgbClr val="00678E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tats.ehpa.org/hp_sales/story_sales/" TargetMode="External"/><Relationship Id="rId13" Type="http://schemas.openxmlformats.org/officeDocument/2006/relationships/hyperlink" Target="http://pxnet2.stat.fi/PXWeb/pxweb/en/StatFin/StatFin__ene__ehk/statfin_ehk_pxt_012_en.px/table/tableViewLayout1/" TargetMode="External"/><Relationship Id="rId3" Type="http://schemas.openxmlformats.org/officeDocument/2006/relationships/hyperlink" Target="https://www.statistikbanken.dk/BYGB40" TargetMode="External"/><Relationship Id="rId7" Type="http://schemas.openxmlformats.org/officeDocument/2006/relationships/hyperlink" Target="http://www.stats.ehpa.org/hp_sales/story_sales/" TargetMode="External"/><Relationship Id="rId12" Type="http://schemas.openxmlformats.org/officeDocument/2006/relationships/hyperlink" Target="https://ens.dk/sites/ens.dk/files/Statistik/pub2017dk.pdf" TargetMode="External"/><Relationship Id="rId2" Type="http://schemas.openxmlformats.org/officeDocument/2006/relationships/hyperlink" Target="https://www.nordicstatistics.org/environment-and-energy/" TargetMode="External"/><Relationship Id="rId1" Type="http://schemas.openxmlformats.org/officeDocument/2006/relationships/hyperlink" Target="https://www.friotherm.com/wp-content/uploads/2017/11/vaertan_e008_uk.pdf" TargetMode="External"/><Relationship Id="rId6" Type="http://schemas.openxmlformats.org/officeDocument/2006/relationships/hyperlink" Target="https://www.energiforetagen.se/statistik/fjarrvarmestatistik/tillford-energi/" TargetMode="External"/><Relationship Id="rId11" Type="http://schemas.openxmlformats.org/officeDocument/2006/relationships/hyperlink" Target="https://www.ssb.no/statbank/table/11557/tableViewLayout1/" TargetMode="External"/><Relationship Id="rId5" Type="http://schemas.openxmlformats.org/officeDocument/2006/relationships/hyperlink" Target="https://pxhopea2.stat.fi/sahkoiset_julkaisut/energia2018/html/engl0001.htm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scb.se/hitta-statistik/statistik-efter-amne/energi/tillforsel-och-anvandning-av-energi/arlig-energistatistik-el-gas-och-fjarrvarme/pong/publikationer/el--gas--och-fjarrvarmeforsorjningen-2017/?publobjid=91917&#160;" TargetMode="External"/><Relationship Id="rId4" Type="http://schemas.openxmlformats.org/officeDocument/2006/relationships/hyperlink" Target="https://pxhopea2.stat.fi/sahkoiset_julkaisut/energia2018/html/engl0006.htm" TargetMode="External"/><Relationship Id="rId9" Type="http://schemas.openxmlformats.org/officeDocument/2006/relationships/hyperlink" Target="https://ec.europa.eu/eurostat/" TargetMode="External"/><Relationship Id="rId14" Type="http://schemas.openxmlformats.org/officeDocument/2006/relationships/hyperlink" Target="https://nea.is/the-national-energy-authority/energy-data/data-repository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CACC6-C8AD-41D9-AD5C-299F2D82A0EE}">
  <dimension ref="A1:G16"/>
  <sheetViews>
    <sheetView topLeftCell="B1" workbookViewId="0">
      <selection activeCell="F6" sqref="F6"/>
    </sheetView>
  </sheetViews>
  <sheetFormatPr defaultRowHeight="15" x14ac:dyDescent="0.25"/>
  <cols>
    <col min="2" max="2" width="67.42578125" customWidth="1"/>
    <col min="3" max="3" width="76" bestFit="1" customWidth="1"/>
    <col min="4" max="4" width="16.7109375" customWidth="1"/>
    <col min="5" max="6" width="14.7109375" customWidth="1"/>
  </cols>
  <sheetData>
    <row r="1" spans="1:7" x14ac:dyDescent="0.25">
      <c r="A1" s="50" t="s">
        <v>123</v>
      </c>
      <c r="B1" s="50"/>
      <c r="C1" s="50"/>
    </row>
    <row r="2" spans="1:7" x14ac:dyDescent="0.25">
      <c r="A2" s="51"/>
      <c r="B2" s="52" t="s">
        <v>118</v>
      </c>
      <c r="C2" s="53"/>
    </row>
    <row r="3" spans="1:7" x14ac:dyDescent="0.25">
      <c r="A3" s="54">
        <v>6</v>
      </c>
      <c r="B3" s="55" t="s">
        <v>119</v>
      </c>
      <c r="C3" s="55"/>
    </row>
    <row r="4" spans="1:7" x14ac:dyDescent="0.25">
      <c r="A4" s="56" t="s">
        <v>120</v>
      </c>
      <c r="B4" s="57" t="s">
        <v>121</v>
      </c>
      <c r="C4" s="58" t="s">
        <v>122</v>
      </c>
    </row>
    <row r="5" spans="1:7" x14ac:dyDescent="0.25">
      <c r="A5" s="59">
        <v>6.1</v>
      </c>
      <c r="B5" s="55" t="s">
        <v>124</v>
      </c>
      <c r="C5" s="60" t="s">
        <v>127</v>
      </c>
    </row>
    <row r="6" spans="1:7" x14ac:dyDescent="0.25">
      <c r="A6" s="59">
        <v>6.2</v>
      </c>
      <c r="B6" s="61" t="s">
        <v>150</v>
      </c>
      <c r="C6" s="62" t="s">
        <v>145</v>
      </c>
      <c r="D6" s="62" t="s">
        <v>146</v>
      </c>
      <c r="E6" s="62" t="s">
        <v>147</v>
      </c>
      <c r="F6" s="62" t="s">
        <v>148</v>
      </c>
      <c r="G6" s="49" t="s">
        <v>149</v>
      </c>
    </row>
    <row r="7" spans="1:7" x14ac:dyDescent="0.25">
      <c r="A7" s="59"/>
      <c r="B7" s="55" t="s">
        <v>126</v>
      </c>
      <c r="C7" s="49" t="s">
        <v>125</v>
      </c>
    </row>
    <row r="8" spans="1:7" x14ac:dyDescent="0.25">
      <c r="A8" s="59">
        <v>6.3</v>
      </c>
      <c r="B8" s="55" t="s">
        <v>142</v>
      </c>
      <c r="C8" s="49" t="s">
        <v>141</v>
      </c>
    </row>
    <row r="9" spans="1:7" x14ac:dyDescent="0.25">
      <c r="A9" s="59">
        <v>6.4</v>
      </c>
      <c r="B9" s="55" t="s">
        <v>142</v>
      </c>
      <c r="C9" s="49" t="s">
        <v>141</v>
      </c>
    </row>
    <row r="10" spans="1:7" x14ac:dyDescent="0.25">
      <c r="A10" s="59">
        <v>6.5</v>
      </c>
      <c r="B10" s="61" t="s">
        <v>144</v>
      </c>
      <c r="C10" s="49" t="s">
        <v>143</v>
      </c>
    </row>
    <row r="11" spans="1:7" x14ac:dyDescent="0.25">
      <c r="A11" s="55"/>
      <c r="B11" s="61"/>
      <c r="C11" s="55"/>
    </row>
    <row r="12" spans="1:7" x14ac:dyDescent="0.25">
      <c r="B12" t="s">
        <v>128</v>
      </c>
      <c r="C12" s="49" t="s">
        <v>129</v>
      </c>
      <c r="D12" t="s">
        <v>130</v>
      </c>
    </row>
    <row r="13" spans="1:7" x14ac:dyDescent="0.25">
      <c r="B13" t="s">
        <v>131</v>
      </c>
      <c r="C13" s="49" t="s">
        <v>132</v>
      </c>
      <c r="D13" t="s">
        <v>133</v>
      </c>
    </row>
    <row r="14" spans="1:7" x14ac:dyDescent="0.25">
      <c r="B14" t="s">
        <v>134</v>
      </c>
      <c r="C14" s="49" t="s">
        <v>135</v>
      </c>
      <c r="D14" t="s">
        <v>136</v>
      </c>
    </row>
    <row r="15" spans="1:7" x14ac:dyDescent="0.25">
      <c r="B15" t="s">
        <v>137</v>
      </c>
      <c r="C15" s="49" t="s">
        <v>135</v>
      </c>
      <c r="D15" t="s">
        <v>138</v>
      </c>
    </row>
    <row r="16" spans="1:7" x14ac:dyDescent="0.25">
      <c r="B16" t="s">
        <v>140</v>
      </c>
      <c r="C16" s="49" t="s">
        <v>139</v>
      </c>
    </row>
  </sheetData>
  <hyperlinks>
    <hyperlink ref="C7" r:id="rId1" xr:uid="{FF0CDD9E-60FC-4A6F-85CD-146AFDFDF034}"/>
    <hyperlink ref="C12" r:id="rId2" xr:uid="{00CA0047-E16A-44B0-B1D1-5F10869789C2}"/>
    <hyperlink ref="C13" r:id="rId3" xr:uid="{A3083A6B-95F9-46E0-A7BA-886D2613F221}"/>
    <hyperlink ref="C14" r:id="rId4" xr:uid="{A1CEA4A9-FBF8-4802-AFED-A85FDB19D05B}"/>
    <hyperlink ref="C15" r:id="rId5" xr:uid="{DBE52FE8-A702-4806-B491-85B48AEEFC8D}"/>
    <hyperlink ref="C16" r:id="rId6" xr:uid="{85565E5A-8911-4F0B-9E7B-D477405095C1}"/>
    <hyperlink ref="C9" r:id="rId7" xr:uid="{763DA0E0-B71B-4775-8D62-08E19FA2CD74}"/>
    <hyperlink ref="C8" r:id="rId8" xr:uid="{96079781-C487-422D-ABA0-706234F476B2}"/>
    <hyperlink ref="C10" r:id="rId9" xr:uid="{8B60494D-B5CC-4FC6-A117-BD25B0FAE5F9}"/>
    <hyperlink ref="C6" r:id="rId10" xr:uid="{DCB48924-E82C-4AE3-A728-44E321DF3535}"/>
    <hyperlink ref="D6" r:id="rId11" display="https://www.ssb.no/statbank/table/11557/tableViewLayout1/" xr:uid="{A1D7AC2F-CBF3-4711-8EEE-73AF6F15D78B}"/>
    <hyperlink ref="E6" r:id="rId12" display="https://ens.dk/sites/ens.dk/files/Statistik/pub2017dk.pdf" xr:uid="{F30CF764-D413-46EC-B40E-44ED382654C0}"/>
    <hyperlink ref="F6" r:id="rId13" display="http://pxnet2.stat.fi/PXWeb/pxweb/en/StatFin/StatFin__ene__ehk/statfin_ehk_pxt_012_en.px/table/tableViewLayout1/" xr:uid="{9B6A1A2D-287D-40D8-BDEE-14C6EC9E3ED7}"/>
    <hyperlink ref="G6" r:id="rId14" display="https://nea.is/the-national-energy-authority/energy-data/data-repository/" xr:uid="{EAB4E345-493B-4D23-A19C-9A7C04DDC759}"/>
  </hyperlinks>
  <pageMargins left="0.7" right="0.7" top="0.75" bottom="0.75" header="0.3" footer="0.3"/>
  <pageSetup paperSize="9"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C4C43-DF0C-4D8A-874E-034B683F772D}">
  <dimension ref="B1:AP95"/>
  <sheetViews>
    <sheetView topLeftCell="A66" zoomScale="130" zoomScaleNormal="130" workbookViewId="0">
      <selection activeCell="P38" sqref="P38"/>
    </sheetView>
  </sheetViews>
  <sheetFormatPr defaultColWidth="8.85546875" defaultRowHeight="15" x14ac:dyDescent="0.25"/>
  <cols>
    <col min="1" max="1" width="3.42578125" style="3" customWidth="1"/>
    <col min="2" max="2" width="16.140625" style="3" customWidth="1"/>
    <col min="3" max="13" width="8.85546875" style="3"/>
    <col min="14" max="14" width="8.85546875" style="4"/>
    <col min="15" max="15" width="17" style="3" customWidth="1"/>
    <col min="16" max="16" width="8.85546875" style="3"/>
    <col min="17" max="17" width="15.42578125" style="3" customWidth="1"/>
    <col min="18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35.25" customHeight="1" x14ac:dyDescent="0.25">
      <c r="B1" s="1" t="str">
        <f>C7</f>
        <v>Heat production in DH networks</v>
      </c>
      <c r="N1" s="1"/>
      <c r="AA1" s="1"/>
      <c r="AN1" s="1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1" x14ac:dyDescent="0.35">
      <c r="B3" s="5" t="s">
        <v>0</v>
      </c>
    </row>
    <row r="4" spans="2:40" ht="21" x14ac:dyDescent="0.35">
      <c r="B4" s="5"/>
    </row>
    <row r="5" spans="2:40" x14ac:dyDescent="0.25">
      <c r="B5" s="4" t="s">
        <v>1</v>
      </c>
      <c r="C5" s="3">
        <v>1</v>
      </c>
    </row>
    <row r="6" spans="2:40" x14ac:dyDescent="0.25">
      <c r="B6" s="4" t="s">
        <v>2</v>
      </c>
      <c r="C6" s="3">
        <v>20</v>
      </c>
    </row>
    <row r="7" spans="2:40" x14ac:dyDescent="0.25">
      <c r="B7" s="4" t="s">
        <v>3</v>
      </c>
      <c r="C7" s="3" t="s">
        <v>4</v>
      </c>
    </row>
    <row r="8" spans="2:40" x14ac:dyDescent="0.25">
      <c r="B8" s="4" t="s">
        <v>5</v>
      </c>
      <c r="C8" s="3" t="s">
        <v>6</v>
      </c>
    </row>
    <row r="9" spans="2:40" x14ac:dyDescent="0.25">
      <c r="B9" s="4"/>
    </row>
    <row r="10" spans="2:40" x14ac:dyDescent="0.25">
      <c r="B10" s="4" t="s">
        <v>7</v>
      </c>
    </row>
    <row r="11" spans="2:40" x14ac:dyDescent="0.25">
      <c r="B11" s="4" t="s">
        <v>8</v>
      </c>
    </row>
    <row r="12" spans="2:40" ht="23.25" x14ac:dyDescent="0.35">
      <c r="B12" s="4"/>
      <c r="L12" s="6"/>
    </row>
    <row r="13" spans="2:40" x14ac:dyDescent="0.25">
      <c r="B13" s="4" t="s">
        <v>9</v>
      </c>
    </row>
    <row r="14" spans="2:40" x14ac:dyDescent="0.25">
      <c r="B14" s="4" t="s">
        <v>10</v>
      </c>
      <c r="C14" s="3" t="s">
        <v>11</v>
      </c>
    </row>
    <row r="15" spans="2:40" x14ac:dyDescent="0.25">
      <c r="B15" s="4" t="s">
        <v>12</v>
      </c>
      <c r="C15" s="3" t="s">
        <v>13</v>
      </c>
    </row>
    <row r="16" spans="2:40" x14ac:dyDescent="0.25">
      <c r="B16" s="4" t="s">
        <v>14</v>
      </c>
      <c r="C16" s="3" t="s">
        <v>15</v>
      </c>
    </row>
    <row r="17" spans="2:38" x14ac:dyDescent="0.25">
      <c r="B17" s="4" t="s">
        <v>16</v>
      </c>
      <c r="C17" s="3" t="s">
        <v>17</v>
      </c>
    </row>
    <row r="18" spans="2:38" x14ac:dyDescent="0.25">
      <c r="B18" s="4"/>
      <c r="C18" s="4"/>
    </row>
    <row r="19" spans="2:38" x14ac:dyDescent="0.25">
      <c r="B19" s="4"/>
      <c r="C19" s="4"/>
    </row>
    <row r="20" spans="2:38" ht="23.25" x14ac:dyDescent="0.35">
      <c r="B20" s="6" t="s">
        <v>18</v>
      </c>
      <c r="C20" s="4"/>
      <c r="P20" s="6" t="s">
        <v>19</v>
      </c>
    </row>
    <row r="21" spans="2:38" x14ac:dyDescent="0.25">
      <c r="B21" s="4"/>
      <c r="C21" s="4"/>
    </row>
    <row r="22" spans="2:38" x14ac:dyDescent="0.25">
      <c r="B22" s="4"/>
      <c r="C22" s="4"/>
    </row>
    <row r="23" spans="2:38" x14ac:dyDescent="0.25">
      <c r="C23" s="4"/>
    </row>
    <row r="24" spans="2:38" x14ac:dyDescent="0.25">
      <c r="B24" s="4"/>
      <c r="V24" s="7"/>
      <c r="W24" s="7"/>
    </row>
    <row r="25" spans="2:38" x14ac:dyDescent="0.25">
      <c r="B25" s="8"/>
      <c r="C25" s="8"/>
      <c r="D25" s="8"/>
      <c r="E25" s="8"/>
      <c r="F25" s="8"/>
      <c r="G25" s="8"/>
      <c r="H25" s="8"/>
      <c r="V25" s="7"/>
      <c r="W25" s="7"/>
    </row>
    <row r="26" spans="2:38" x14ac:dyDescent="0.25">
      <c r="B26" s="8"/>
      <c r="C26" s="8"/>
      <c r="D26" s="8"/>
      <c r="E26" s="8"/>
      <c r="F26" s="8"/>
      <c r="G26" s="8"/>
      <c r="H26" s="8"/>
      <c r="V26" s="7"/>
      <c r="W26" s="7"/>
    </row>
    <row r="27" spans="2:38" x14ac:dyDescent="0.25">
      <c r="B27" s="8"/>
      <c r="C27" s="8"/>
      <c r="D27" s="8"/>
      <c r="E27" s="8"/>
      <c r="F27" s="8"/>
      <c r="G27" s="8"/>
      <c r="H27" s="8"/>
      <c r="V27" s="7"/>
      <c r="W27" s="7"/>
    </row>
    <row r="28" spans="2:38" x14ac:dyDescent="0.25">
      <c r="B28" s="8"/>
      <c r="C28" s="8"/>
      <c r="D28" s="8"/>
      <c r="E28" s="8"/>
      <c r="F28" s="8"/>
      <c r="G28" s="8"/>
      <c r="H28" s="8"/>
      <c r="V28" s="7"/>
      <c r="W28" s="7"/>
      <c r="X28" s="4"/>
      <c r="Y28" s="4"/>
    </row>
    <row r="29" spans="2:38" x14ac:dyDescent="0.25">
      <c r="B29" s="8"/>
      <c r="C29" s="8"/>
      <c r="D29" s="8"/>
      <c r="E29" s="8"/>
      <c r="F29" s="8"/>
      <c r="G29" s="8"/>
      <c r="H29" s="8"/>
      <c r="V29" s="7"/>
      <c r="W29" s="7"/>
      <c r="X29" s="4"/>
      <c r="Y29" s="4"/>
    </row>
    <row r="30" spans="2:38" ht="15.75" x14ac:dyDescent="0.25">
      <c r="B30" s="8"/>
      <c r="C30" s="8"/>
      <c r="D30" s="8"/>
      <c r="E30" s="8"/>
      <c r="F30" s="8"/>
      <c r="G30" s="8"/>
      <c r="H30" s="8"/>
      <c r="N30" s="9"/>
      <c r="V30" s="7"/>
      <c r="W30" s="7"/>
      <c r="AA30" s="9"/>
    </row>
    <row r="31" spans="2:38" s="4" customFormat="1" x14ac:dyDescent="0.25">
      <c r="B31" s="8"/>
      <c r="C31" s="8"/>
      <c r="D31" s="8"/>
      <c r="E31" s="8"/>
      <c r="F31" s="8"/>
      <c r="G31" s="8"/>
      <c r="H31" s="8"/>
      <c r="V31" s="7"/>
      <c r="W31" s="7"/>
      <c r="AA31" s="3"/>
    </row>
    <row r="32" spans="2:38" x14ac:dyDescent="0.25">
      <c r="B32" s="8"/>
      <c r="C32" s="8"/>
      <c r="D32" s="8"/>
      <c r="E32" s="8"/>
      <c r="F32" s="8"/>
      <c r="G32" s="8"/>
      <c r="H32" s="8"/>
      <c r="N32" s="10"/>
      <c r="V32" s="7"/>
      <c r="W32" s="7"/>
      <c r="X32" s="11"/>
      <c r="Y32" s="11"/>
      <c r="AA32" s="10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</row>
    <row r="33" spans="2:42" x14ac:dyDescent="0.25">
      <c r="B33" s="8"/>
      <c r="C33" s="8"/>
      <c r="D33" s="8"/>
      <c r="E33" s="8"/>
      <c r="F33" s="8"/>
      <c r="G33" s="8"/>
      <c r="H33" s="8"/>
      <c r="N33" s="10"/>
      <c r="V33" s="7"/>
      <c r="W33" s="7"/>
      <c r="X33" s="11"/>
      <c r="Y33" s="11"/>
      <c r="AA33" s="10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</row>
    <row r="34" spans="2:42" x14ac:dyDescent="0.25">
      <c r="B34" s="8"/>
      <c r="C34" s="8"/>
      <c r="D34" s="8"/>
      <c r="E34" s="8"/>
      <c r="F34" s="8"/>
      <c r="G34" s="8"/>
      <c r="H34" s="8"/>
      <c r="N34" s="10"/>
      <c r="V34" s="7"/>
      <c r="W34" s="7"/>
      <c r="X34" s="11"/>
      <c r="Y34" s="11"/>
      <c r="AA34" s="10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</row>
    <row r="35" spans="2:42" x14ac:dyDescent="0.25">
      <c r="B35" s="8"/>
      <c r="C35" s="8"/>
      <c r="D35" s="8"/>
      <c r="E35" s="8"/>
      <c r="F35" s="8"/>
      <c r="G35" s="8"/>
      <c r="H35" s="8"/>
      <c r="N35" s="10"/>
      <c r="V35" s="7"/>
      <c r="W35" s="7"/>
      <c r="X35" s="11"/>
      <c r="Y35" s="11"/>
      <c r="AA35" s="10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</row>
    <row r="36" spans="2:42" x14ac:dyDescent="0.25">
      <c r="B36" s="8"/>
      <c r="C36" s="8"/>
      <c r="D36" s="8"/>
      <c r="E36" s="8"/>
      <c r="F36" s="8"/>
      <c r="G36" s="8"/>
      <c r="H36" s="8"/>
      <c r="N36" s="10"/>
      <c r="V36" s="7"/>
      <c r="W36" s="7"/>
      <c r="X36" s="11"/>
      <c r="Y36" s="11"/>
      <c r="AA36" s="10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</row>
    <row r="37" spans="2:42" x14ac:dyDescent="0.25">
      <c r="B37" s="8"/>
      <c r="C37" s="8"/>
      <c r="D37" s="8"/>
      <c r="E37" s="8"/>
      <c r="F37" s="8"/>
      <c r="G37" s="8"/>
      <c r="H37" s="8"/>
      <c r="N37" s="10"/>
      <c r="V37" s="7"/>
      <c r="W37" s="7"/>
      <c r="X37" s="11"/>
      <c r="Y37" s="11"/>
      <c r="AA37" s="10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</row>
    <row r="38" spans="2:42" s="103" customFormat="1" ht="23.25" x14ac:dyDescent="0.35">
      <c r="B38" s="101" t="s">
        <v>20</v>
      </c>
      <c r="C38" s="102"/>
      <c r="N38" s="104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AA38" s="104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N38" s="106"/>
    </row>
    <row r="39" spans="2:42" s="103" customFormat="1" x14ac:dyDescent="0.25">
      <c r="B39" s="103" t="s">
        <v>21</v>
      </c>
      <c r="C39" s="103">
        <v>2014</v>
      </c>
      <c r="D39" s="103">
        <v>2015</v>
      </c>
      <c r="E39" s="103">
        <v>2016</v>
      </c>
      <c r="F39" s="103">
        <v>2017</v>
      </c>
      <c r="G39" s="103">
        <v>2018</v>
      </c>
      <c r="H39" s="103">
        <v>2019</v>
      </c>
      <c r="I39" s="103">
        <v>2020</v>
      </c>
      <c r="J39" s="103">
        <v>2021</v>
      </c>
      <c r="K39" s="103">
        <v>2022</v>
      </c>
      <c r="L39" s="103">
        <v>2023</v>
      </c>
      <c r="M39" s="103">
        <v>2024</v>
      </c>
      <c r="N39" s="103">
        <v>2025</v>
      </c>
      <c r="O39" s="103">
        <v>2026</v>
      </c>
      <c r="P39" s="103">
        <v>2027</v>
      </c>
      <c r="Q39" s="103">
        <v>2028</v>
      </c>
      <c r="R39" s="103">
        <v>2029</v>
      </c>
      <c r="S39" s="103">
        <v>2030</v>
      </c>
      <c r="T39" s="103">
        <v>2031</v>
      </c>
      <c r="U39" s="103">
        <v>2032</v>
      </c>
      <c r="V39" s="103">
        <v>2033</v>
      </c>
      <c r="W39" s="103">
        <v>2034</v>
      </c>
      <c r="X39" s="103">
        <v>2035</v>
      </c>
      <c r="Y39" s="103">
        <v>2036</v>
      </c>
      <c r="Z39" s="103">
        <v>2037</v>
      </c>
      <c r="AA39" s="103">
        <v>2038</v>
      </c>
      <c r="AB39" s="103">
        <v>2039</v>
      </c>
      <c r="AC39" s="103">
        <v>2040</v>
      </c>
      <c r="AD39" s="103">
        <v>2041</v>
      </c>
      <c r="AE39" s="103">
        <v>2042</v>
      </c>
      <c r="AF39" s="103">
        <v>2043</v>
      </c>
      <c r="AG39" s="103">
        <v>2044</v>
      </c>
      <c r="AH39" s="103">
        <v>2045</v>
      </c>
      <c r="AI39" s="103">
        <v>2046</v>
      </c>
      <c r="AJ39" s="103">
        <v>2047</v>
      </c>
      <c r="AK39" s="103">
        <v>2048</v>
      </c>
      <c r="AL39" s="103">
        <v>2049</v>
      </c>
      <c r="AM39" s="103">
        <v>2050</v>
      </c>
      <c r="AN39" s="103">
        <v>2051</v>
      </c>
    </row>
    <row r="40" spans="2:42" s="103" customFormat="1" x14ac:dyDescent="0.25">
      <c r="F40" s="107">
        <v>2018</v>
      </c>
      <c r="G40" s="103">
        <v>2018</v>
      </c>
    </row>
    <row r="41" spans="2:42" s="103" customFormat="1" x14ac:dyDescent="0.25">
      <c r="B41" s="106"/>
      <c r="C41" s="104">
        <v>2014</v>
      </c>
      <c r="E41" s="106"/>
      <c r="F41" s="107"/>
      <c r="G41" s="107"/>
      <c r="H41" s="107"/>
      <c r="I41" s="107"/>
      <c r="J41" s="104">
        <v>2020</v>
      </c>
      <c r="K41" s="107"/>
      <c r="L41" s="107"/>
      <c r="M41" s="107"/>
      <c r="N41" s="107"/>
      <c r="O41" s="106"/>
      <c r="P41" s="107"/>
      <c r="Q41" s="107"/>
      <c r="R41" s="107"/>
      <c r="S41" s="107"/>
      <c r="T41" s="106">
        <v>2030</v>
      </c>
      <c r="U41" s="107"/>
      <c r="V41" s="107"/>
      <c r="W41" s="107"/>
      <c r="X41" s="107"/>
      <c r="Y41" s="106"/>
      <c r="Z41" s="107"/>
      <c r="AA41" s="107"/>
      <c r="AB41" s="107"/>
      <c r="AC41" s="107"/>
      <c r="AD41" s="106">
        <v>2040</v>
      </c>
      <c r="AE41" s="107"/>
      <c r="AF41" s="107"/>
      <c r="AG41" s="107"/>
      <c r="AH41" s="107"/>
      <c r="AI41" s="106"/>
      <c r="AJ41" s="107"/>
      <c r="AK41" s="107"/>
      <c r="AL41" s="107"/>
      <c r="AM41" s="107"/>
      <c r="AN41" s="106">
        <v>2050</v>
      </c>
      <c r="AO41" s="104"/>
      <c r="AP41" s="105"/>
    </row>
    <row r="42" spans="2:42" s="103" customFormat="1" x14ac:dyDescent="0.25">
      <c r="B42" s="106" t="s">
        <v>22</v>
      </c>
      <c r="C42" s="107">
        <v>3.8275000000000001</v>
      </c>
      <c r="D42" s="107">
        <v>4.3127988627710794</v>
      </c>
      <c r="E42" s="107">
        <v>4.7980977255421591</v>
      </c>
      <c r="F42" s="107">
        <v>4.6991520602319428</v>
      </c>
      <c r="G42" s="107">
        <v>4.6002063949217264</v>
      </c>
      <c r="H42" s="107">
        <v>4.5012607296115101</v>
      </c>
      <c r="I42" s="107">
        <v>4.4023150643012938</v>
      </c>
      <c r="J42" s="107">
        <v>4.3033693989910766</v>
      </c>
      <c r="K42" s="107">
        <v>3.8010755772909999</v>
      </c>
      <c r="L42" s="107">
        <v>3.2987817555909231</v>
      </c>
      <c r="M42" s="107">
        <v>2.7964879338908464</v>
      </c>
      <c r="N42" s="107">
        <v>2.2941941121907696</v>
      </c>
      <c r="O42" s="107">
        <v>1.7919002904906915</v>
      </c>
      <c r="P42" s="107">
        <v>1.5383030284291348</v>
      </c>
      <c r="Q42" s="107">
        <v>1.2847057663675781</v>
      </c>
      <c r="R42" s="107">
        <v>1.0311085043060213</v>
      </c>
      <c r="S42" s="107">
        <v>0.77751124224446455</v>
      </c>
      <c r="T42" s="107">
        <v>0.5239139801829078</v>
      </c>
      <c r="U42" s="107">
        <v>0.54305666576988676</v>
      </c>
      <c r="V42" s="107">
        <v>0.56219935135686572</v>
      </c>
      <c r="W42" s="107">
        <v>0.58134203694384468</v>
      </c>
      <c r="X42" s="107">
        <v>0.60048472253082363</v>
      </c>
      <c r="Y42" s="107">
        <v>0.6196274081178027</v>
      </c>
      <c r="Z42" s="107">
        <v>0.49867492812031189</v>
      </c>
      <c r="AA42" s="107">
        <v>0.37772244812282108</v>
      </c>
      <c r="AB42" s="107">
        <v>0.25676996812533026</v>
      </c>
      <c r="AC42" s="107">
        <v>0.13581748812783945</v>
      </c>
      <c r="AD42" s="107">
        <v>1.4865008130348656E-2</v>
      </c>
      <c r="AE42" s="107">
        <v>1.4864908380885321E-2</v>
      </c>
      <c r="AF42" s="107">
        <v>1.4864808631421986E-2</v>
      </c>
      <c r="AG42" s="107">
        <v>1.4864708881958651E-2</v>
      </c>
      <c r="AH42" s="107">
        <v>1.4864609132495316E-2</v>
      </c>
      <c r="AI42" s="107">
        <v>1.4864509383031979E-2</v>
      </c>
      <c r="AJ42" s="107">
        <v>1.1893065613062141E-2</v>
      </c>
      <c r="AK42" s="107">
        <v>8.9216218430923019E-3</v>
      </c>
      <c r="AL42" s="107">
        <v>5.9501780731224634E-3</v>
      </c>
      <c r="AM42" s="107">
        <v>2.9787343031526248E-3</v>
      </c>
      <c r="AN42" s="107">
        <v>7.2905331827858858E-6</v>
      </c>
      <c r="AO42" s="104"/>
      <c r="AP42" s="105"/>
    </row>
    <row r="43" spans="2:42" s="103" customFormat="1" x14ac:dyDescent="0.25">
      <c r="B43" s="106" t="s">
        <v>23</v>
      </c>
      <c r="C43" s="107">
        <v>30.149722222222223</v>
      </c>
      <c r="D43" s="107">
        <v>30.376084413511371</v>
      </c>
      <c r="E43" s="107">
        <v>30.602446604800516</v>
      </c>
      <c r="F43" s="107">
        <v>30.836894658646397</v>
      </c>
      <c r="G43" s="107">
        <v>31.071342712492278</v>
      </c>
      <c r="H43" s="107">
        <v>31.305790766338159</v>
      </c>
      <c r="I43" s="107">
        <v>31.54023882018404</v>
      </c>
      <c r="J43" s="107">
        <v>31.774686874029925</v>
      </c>
      <c r="K43" s="107">
        <v>31.286574899355497</v>
      </c>
      <c r="L43" s="107">
        <v>30.798462924681068</v>
      </c>
      <c r="M43" s="107">
        <v>30.31035095000664</v>
      </c>
      <c r="N43" s="107">
        <v>29.822238975332212</v>
      </c>
      <c r="O43" s="107">
        <v>29.33412700065778</v>
      </c>
      <c r="P43" s="107">
        <v>26.647448935180126</v>
      </c>
      <c r="Q43" s="107">
        <v>23.960770869702472</v>
      </c>
      <c r="R43" s="107">
        <v>21.274092804224818</v>
      </c>
      <c r="S43" s="107">
        <v>18.587414738747164</v>
      </c>
      <c r="T43" s="107">
        <v>15.900736673269504</v>
      </c>
      <c r="U43" s="107">
        <v>13.661964906351429</v>
      </c>
      <c r="V43" s="107">
        <v>11.423193139433355</v>
      </c>
      <c r="W43" s="107">
        <v>9.1844213725152812</v>
      </c>
      <c r="X43" s="107">
        <v>6.9456496055972066</v>
      </c>
      <c r="Y43" s="107">
        <v>4.706877838679131</v>
      </c>
      <c r="Z43" s="107">
        <v>3.9725220186495851</v>
      </c>
      <c r="AA43" s="107">
        <v>3.2381661986200392</v>
      </c>
      <c r="AB43" s="107">
        <v>2.5038103785904933</v>
      </c>
      <c r="AC43" s="107">
        <v>1.7694545585609474</v>
      </c>
      <c r="AD43" s="107">
        <v>1.035098738531401</v>
      </c>
      <c r="AE43" s="107">
        <v>1.0350984331740076</v>
      </c>
      <c r="AF43" s="107">
        <v>1.0350981278166143</v>
      </c>
      <c r="AG43" s="107">
        <v>1.0350978224592209</v>
      </c>
      <c r="AH43" s="107">
        <v>1.0350975171018275</v>
      </c>
      <c r="AI43" s="107">
        <v>1.0350972117444344</v>
      </c>
      <c r="AJ43" s="107">
        <v>0.98334248869381413</v>
      </c>
      <c r="AK43" s="107">
        <v>0.9315877656431939</v>
      </c>
      <c r="AL43" s="107">
        <v>0.87983304259257367</v>
      </c>
      <c r="AM43" s="107">
        <v>0.82807831954195343</v>
      </c>
      <c r="AN43" s="107">
        <v>0.77632359649133298</v>
      </c>
      <c r="AO43" s="104"/>
      <c r="AP43" s="105"/>
    </row>
    <row r="44" spans="2:42" s="103" customFormat="1" x14ac:dyDescent="0.25">
      <c r="B44" s="106" t="s">
        <v>24</v>
      </c>
      <c r="C44" s="107">
        <v>20.735555555555553</v>
      </c>
      <c r="D44" s="107">
        <v>23.194448695596897</v>
      </c>
      <c r="E44" s="107">
        <v>25.653341835638241</v>
      </c>
      <c r="F44" s="107">
        <v>25.088832734752174</v>
      </c>
      <c r="G44" s="107">
        <v>24.524323633866107</v>
      </c>
      <c r="H44" s="107">
        <v>23.95981453298004</v>
      </c>
      <c r="I44" s="107">
        <v>23.395305432093974</v>
      </c>
      <c r="J44" s="107">
        <v>22.830796331207903</v>
      </c>
      <c r="K44" s="107">
        <v>21.894555659631706</v>
      </c>
      <c r="L44" s="107">
        <v>20.958314988055509</v>
      </c>
      <c r="M44" s="107">
        <v>20.022074316479312</v>
      </c>
      <c r="N44" s="107">
        <v>19.085833644903115</v>
      </c>
      <c r="O44" s="107">
        <v>18.149592973326914</v>
      </c>
      <c r="P44" s="107">
        <v>17.672795772932936</v>
      </c>
      <c r="Q44" s="107">
        <v>17.195998572538958</v>
      </c>
      <c r="R44" s="107">
        <v>16.71920137214498</v>
      </c>
      <c r="S44" s="107">
        <v>16.242404171751001</v>
      </c>
      <c r="T44" s="107">
        <v>15.765606971357029</v>
      </c>
      <c r="U44" s="107">
        <v>14.221457964976176</v>
      </c>
      <c r="V44" s="107">
        <v>12.677308958595324</v>
      </c>
      <c r="W44" s="107">
        <v>11.133159952214472</v>
      </c>
      <c r="X44" s="107">
        <v>9.5890109458336195</v>
      </c>
      <c r="Y44" s="107">
        <v>8.0448619394527707</v>
      </c>
      <c r="Z44" s="107">
        <v>7.5455721385360564</v>
      </c>
      <c r="AA44" s="107">
        <v>7.046282337619342</v>
      </c>
      <c r="AB44" s="107">
        <v>6.5469925367026276</v>
      </c>
      <c r="AC44" s="107">
        <v>6.0477027357859132</v>
      </c>
      <c r="AD44" s="107">
        <v>5.5484129348691988</v>
      </c>
      <c r="AE44" s="107">
        <v>5.0381325259056391</v>
      </c>
      <c r="AF44" s="107">
        <v>4.5278521169420793</v>
      </c>
      <c r="AG44" s="107">
        <v>4.0175717079785196</v>
      </c>
      <c r="AH44" s="107">
        <v>3.5072912990149594</v>
      </c>
      <c r="AI44" s="107">
        <v>2.9970108900513983</v>
      </c>
      <c r="AJ44" s="107">
        <v>2.5318781948036291</v>
      </c>
      <c r="AK44" s="107">
        <v>2.0667454995558598</v>
      </c>
      <c r="AL44" s="107">
        <v>1.6016128043080906</v>
      </c>
      <c r="AM44" s="107">
        <v>1.1364801090603214</v>
      </c>
      <c r="AN44" s="107">
        <v>0.67134741381255258</v>
      </c>
      <c r="AO44" s="104"/>
      <c r="AP44" s="105"/>
    </row>
    <row r="45" spans="2:42" s="103" customFormat="1" x14ac:dyDescent="0.25">
      <c r="B45" s="106" t="s">
        <v>25</v>
      </c>
      <c r="C45" s="107">
        <v>84.961666666666659</v>
      </c>
      <c r="D45" s="107">
        <v>79.647567894684954</v>
      </c>
      <c r="E45" s="107">
        <v>74.333469122703235</v>
      </c>
      <c r="F45" s="107">
        <v>75.957705152974953</v>
      </c>
      <c r="G45" s="107">
        <v>77.58194118324667</v>
      </c>
      <c r="H45" s="107">
        <v>79.206177213518387</v>
      </c>
      <c r="I45" s="107">
        <v>80.830413243790105</v>
      </c>
      <c r="J45" s="107">
        <v>82.454649274061794</v>
      </c>
      <c r="K45" s="107">
        <v>84.697916733655987</v>
      </c>
      <c r="L45" s="107">
        <v>86.941184193250137</v>
      </c>
      <c r="M45" s="107">
        <v>89.184451652844288</v>
      </c>
      <c r="N45" s="107">
        <v>91.427719112438439</v>
      </c>
      <c r="O45" s="107">
        <v>93.670986572032561</v>
      </c>
      <c r="P45" s="107">
        <v>95.620979214325956</v>
      </c>
      <c r="Q45" s="107">
        <v>97.570971856619352</v>
      </c>
      <c r="R45" s="107">
        <v>99.520964498912747</v>
      </c>
      <c r="S45" s="107">
        <v>101.47095714120614</v>
      </c>
      <c r="T45" s="107">
        <v>103.42094978349957</v>
      </c>
      <c r="U45" s="107">
        <v>103.12197852951394</v>
      </c>
      <c r="V45" s="107">
        <v>102.82300727552831</v>
      </c>
      <c r="W45" s="107">
        <v>102.52403602154268</v>
      </c>
      <c r="X45" s="107">
        <v>102.22506476755706</v>
      </c>
      <c r="Y45" s="107">
        <v>101.92609351357144</v>
      </c>
      <c r="Z45" s="107">
        <v>100.05070209448542</v>
      </c>
      <c r="AA45" s="107">
        <v>98.175310675399388</v>
      </c>
      <c r="AB45" s="107">
        <v>96.299919256313359</v>
      </c>
      <c r="AC45" s="107">
        <v>94.42452783722733</v>
      </c>
      <c r="AD45" s="107">
        <v>92.549136418141273</v>
      </c>
      <c r="AE45" s="107">
        <v>91.773115676369216</v>
      </c>
      <c r="AF45" s="107">
        <v>90.997094934597158</v>
      </c>
      <c r="AG45" s="107">
        <v>90.2210741928251</v>
      </c>
      <c r="AH45" s="107">
        <v>89.445053451053042</v>
      </c>
      <c r="AI45" s="107">
        <v>88.669032709280984</v>
      </c>
      <c r="AJ45" s="107">
        <v>84.658457260497102</v>
      </c>
      <c r="AK45" s="107">
        <v>80.647881811713219</v>
      </c>
      <c r="AL45" s="107">
        <v>76.637306362929337</v>
      </c>
      <c r="AM45" s="107">
        <v>72.626730914145455</v>
      </c>
      <c r="AN45" s="107">
        <v>68.616155465361601</v>
      </c>
      <c r="AO45" s="104"/>
      <c r="AP45" s="105"/>
    </row>
    <row r="46" spans="2:42" s="103" customFormat="1" x14ac:dyDescent="0.25">
      <c r="B46" s="106" t="s">
        <v>26</v>
      </c>
      <c r="C46" s="107">
        <v>6.4649999999999999</v>
      </c>
      <c r="D46" s="107">
        <v>6.5153591230027903</v>
      </c>
      <c r="E46" s="107">
        <v>6.5657182460055799</v>
      </c>
      <c r="F46" s="107">
        <v>6.6176603801264742</v>
      </c>
      <c r="G46" s="107">
        <v>6.6696025142473685</v>
      </c>
      <c r="H46" s="107">
        <v>6.7215446483682628</v>
      </c>
      <c r="I46" s="107">
        <v>6.7734867824891571</v>
      </c>
      <c r="J46" s="107">
        <v>6.8254289166100524</v>
      </c>
      <c r="K46" s="107">
        <v>6.826636893561024</v>
      </c>
      <c r="L46" s="107">
        <v>6.8278448705119956</v>
      </c>
      <c r="M46" s="107">
        <v>6.8290528474629673</v>
      </c>
      <c r="N46" s="107">
        <v>6.8302608244139389</v>
      </c>
      <c r="O46" s="107">
        <v>6.8314688013649096</v>
      </c>
      <c r="P46" s="107">
        <v>6.8115948759062563</v>
      </c>
      <c r="Q46" s="107">
        <v>6.791720950447603</v>
      </c>
      <c r="R46" s="107">
        <v>6.7718470249889497</v>
      </c>
      <c r="S46" s="107">
        <v>6.7519730995302965</v>
      </c>
      <c r="T46" s="107">
        <v>6.732099174071644</v>
      </c>
      <c r="U46" s="107">
        <v>6.6890132804199816</v>
      </c>
      <c r="V46" s="107">
        <v>6.6459273867683191</v>
      </c>
      <c r="W46" s="107">
        <v>6.6028414931166566</v>
      </c>
      <c r="X46" s="107">
        <v>6.5597555994649941</v>
      </c>
      <c r="Y46" s="107">
        <v>6.5166697058133325</v>
      </c>
      <c r="Z46" s="107">
        <v>6.4600255896068175</v>
      </c>
      <c r="AA46" s="107">
        <v>6.4033814734003025</v>
      </c>
      <c r="AB46" s="107">
        <v>6.3467373571937875</v>
      </c>
      <c r="AC46" s="107">
        <v>6.2900932409872725</v>
      </c>
      <c r="AD46" s="107">
        <v>6.2334491247807566</v>
      </c>
      <c r="AE46" s="107">
        <v>6.1814713276588904</v>
      </c>
      <c r="AF46" s="107">
        <v>6.1294935305370242</v>
      </c>
      <c r="AG46" s="107">
        <v>6.0775157334151579</v>
      </c>
      <c r="AH46" s="107">
        <v>6.0255379362932917</v>
      </c>
      <c r="AI46" s="107">
        <v>5.9735601391714255</v>
      </c>
      <c r="AJ46" s="107">
        <v>5.907926046009381</v>
      </c>
      <c r="AK46" s="107">
        <v>5.8422919528473365</v>
      </c>
      <c r="AL46" s="107">
        <v>5.776657859685292</v>
      </c>
      <c r="AM46" s="107">
        <v>5.7110237665232475</v>
      </c>
      <c r="AN46" s="107">
        <v>5.6453896733612021</v>
      </c>
      <c r="AO46" s="104"/>
      <c r="AP46" s="105"/>
    </row>
    <row r="47" spans="2:42" s="103" customFormat="1" x14ac:dyDescent="0.25">
      <c r="B47" s="106" t="s">
        <v>27</v>
      </c>
      <c r="C47" s="107">
        <v>1.3469444444444445</v>
      </c>
      <c r="D47" s="107">
        <v>2.2538096058180699</v>
      </c>
      <c r="E47" s="107">
        <v>3.1606747671916948</v>
      </c>
      <c r="F47" s="107">
        <v>3.4019018946069113</v>
      </c>
      <c r="G47" s="107">
        <v>3.6431290220221277</v>
      </c>
      <c r="H47" s="107">
        <v>3.8843561494373442</v>
      </c>
      <c r="I47" s="107">
        <v>4.1255832768525611</v>
      </c>
      <c r="J47" s="107">
        <v>4.3668104042677776</v>
      </c>
      <c r="K47" s="107">
        <v>4.2404086924830757</v>
      </c>
      <c r="L47" s="107">
        <v>4.1140069806983739</v>
      </c>
      <c r="M47" s="107">
        <v>3.9876052689136725</v>
      </c>
      <c r="N47" s="107">
        <v>3.8612035571289711</v>
      </c>
      <c r="O47" s="107">
        <v>3.7348018453442697</v>
      </c>
      <c r="P47" s="107">
        <v>4.977293048466656</v>
      </c>
      <c r="Q47" s="107">
        <v>6.2197842515890418</v>
      </c>
      <c r="R47" s="107">
        <v>7.4622754547114276</v>
      </c>
      <c r="S47" s="107">
        <v>8.7047666578338134</v>
      </c>
      <c r="T47" s="107">
        <v>9.9472578609561992</v>
      </c>
      <c r="U47" s="107">
        <v>13.467192488532829</v>
      </c>
      <c r="V47" s="107">
        <v>16.987127116109459</v>
      </c>
      <c r="W47" s="107">
        <v>20.507061743686091</v>
      </c>
      <c r="X47" s="107">
        <v>24.026996371262722</v>
      </c>
      <c r="Y47" s="107">
        <v>27.54693099883935</v>
      </c>
      <c r="Z47" s="107">
        <v>30.376893688473025</v>
      </c>
      <c r="AA47" s="107">
        <v>33.2068563781067</v>
      </c>
      <c r="AB47" s="107">
        <v>36.036819067740375</v>
      </c>
      <c r="AC47" s="107">
        <v>38.866781757374049</v>
      </c>
      <c r="AD47" s="107">
        <v>41.696744447007724</v>
      </c>
      <c r="AE47" s="107">
        <v>42.597385632767242</v>
      </c>
      <c r="AF47" s="107">
        <v>43.49802681852676</v>
      </c>
      <c r="AG47" s="107">
        <v>44.398668004286279</v>
      </c>
      <c r="AH47" s="107">
        <v>45.299309190045797</v>
      </c>
      <c r="AI47" s="107">
        <v>46.199950375805308</v>
      </c>
      <c r="AJ47" s="107">
        <v>50.720085397647544</v>
      </c>
      <c r="AK47" s="107">
        <v>55.240220419489781</v>
      </c>
      <c r="AL47" s="107">
        <v>59.760355441332017</v>
      </c>
      <c r="AM47" s="107">
        <v>64.280490463174246</v>
      </c>
      <c r="AN47" s="107">
        <v>68.800625485016482</v>
      </c>
      <c r="AO47" s="104"/>
      <c r="AP47" s="105"/>
    </row>
    <row r="48" spans="2:42" s="103" customFormat="1" x14ac:dyDescent="0.25">
      <c r="B48" s="106" t="s">
        <v>28</v>
      </c>
      <c r="C48" s="107">
        <v>8.3480555555555558</v>
      </c>
      <c r="D48" s="107">
        <v>4.1740277777777779</v>
      </c>
      <c r="E48" s="107">
        <v>0</v>
      </c>
      <c r="F48" s="107">
        <v>0</v>
      </c>
      <c r="G48" s="107">
        <v>0</v>
      </c>
      <c r="H48" s="107">
        <v>0</v>
      </c>
      <c r="I48" s="107">
        <v>0</v>
      </c>
      <c r="J48" s="107">
        <v>0</v>
      </c>
      <c r="K48" s="107">
        <v>0</v>
      </c>
      <c r="L48" s="107">
        <v>0</v>
      </c>
      <c r="M48" s="107">
        <v>0</v>
      </c>
      <c r="N48" s="107">
        <v>0</v>
      </c>
      <c r="O48" s="107">
        <v>0</v>
      </c>
      <c r="P48" s="107">
        <v>0</v>
      </c>
      <c r="Q48" s="107">
        <v>0</v>
      </c>
      <c r="R48" s="107">
        <v>0</v>
      </c>
      <c r="S48" s="107">
        <v>0</v>
      </c>
      <c r="T48" s="107">
        <v>0</v>
      </c>
      <c r="U48" s="107">
        <v>0</v>
      </c>
      <c r="V48" s="107">
        <v>0</v>
      </c>
      <c r="W48" s="107">
        <v>0</v>
      </c>
      <c r="X48" s="107">
        <v>0</v>
      </c>
      <c r="Y48" s="107">
        <v>0</v>
      </c>
      <c r="Z48" s="107">
        <v>0</v>
      </c>
      <c r="AA48" s="107">
        <v>0</v>
      </c>
      <c r="AB48" s="107">
        <v>0</v>
      </c>
      <c r="AC48" s="107">
        <v>0</v>
      </c>
      <c r="AD48" s="107">
        <v>0</v>
      </c>
      <c r="AE48" s="107">
        <v>0</v>
      </c>
      <c r="AF48" s="107">
        <v>0</v>
      </c>
      <c r="AG48" s="107">
        <v>0</v>
      </c>
      <c r="AH48" s="107">
        <v>0</v>
      </c>
      <c r="AI48" s="107">
        <v>0</v>
      </c>
      <c r="AJ48" s="107">
        <v>0</v>
      </c>
      <c r="AK48" s="107">
        <v>0</v>
      </c>
      <c r="AL48" s="107">
        <v>0</v>
      </c>
      <c r="AM48" s="107">
        <v>0</v>
      </c>
      <c r="AN48" s="107">
        <v>0</v>
      </c>
      <c r="AO48" s="108"/>
      <c r="AP48" s="105"/>
    </row>
    <row r="49" spans="2:42" x14ac:dyDescent="0.25">
      <c r="B49" s="4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0"/>
      <c r="AP49" s="11"/>
    </row>
    <row r="50" spans="2:42" x14ac:dyDescent="0.25">
      <c r="B50" s="4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0"/>
      <c r="AP50" s="11"/>
    </row>
    <row r="51" spans="2:42" x14ac:dyDescent="0.25">
      <c r="B51" s="4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0"/>
      <c r="AP51" s="11"/>
    </row>
    <row r="52" spans="2:42" x14ac:dyDescent="0.25">
      <c r="B52" s="4" t="s">
        <v>229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</row>
    <row r="53" spans="2:42" ht="23.25" x14ac:dyDescent="0.35">
      <c r="B53" s="6" t="s">
        <v>117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</row>
    <row r="54" spans="2:42" x14ac:dyDescent="0.25">
      <c r="B54" s="3" t="s">
        <v>29</v>
      </c>
      <c r="C54" s="12">
        <f>('Fig 06.2'!Q8+'Fig 06.2'!Q14+'Fig 06.2'!Q26+'Fig 06.2'!Q32+'Fig 06.2'!Q40)/1000/3.6*1.08</f>
        <v>43.917722400000002</v>
      </c>
      <c r="D54" s="12">
        <f>('Fig 06.2'!R8+'Fig 06.2'!R14+'Fig 06.2'!R26+'Fig 06.2'!R32+'Fig 06.2'!R40)/1000/3.6*1.08</f>
        <v>41.564393040000006</v>
      </c>
      <c r="E54" s="12">
        <f>('Fig 06.2'!S8+'Fig 06.2'!S14+'Fig 06.2'!S26+'Fig 06.2'!S32+'Fig 06.2'!S40)/1000/3.6*1.08</f>
        <v>44.065529700000006</v>
      </c>
      <c r="F54" s="12">
        <f>('Fig 06.2'!T8+'Fig 06.2'!T14+'Fig 06.2'!T26+'Fig 06.2'!T32+'Fig 06.2'!T40)/1000/3.6*1.08</f>
        <v>39.293498399999997</v>
      </c>
      <c r="G54" s="12">
        <f>('Fig 06.2'!U8+'Fig 06.2'!U14+'Fig 06.2'!U26+'Fig 06.2'!U32+'Fig 06.2'!U40)/1000/3.6*1.08</f>
        <v>40.43504148000001</v>
      </c>
      <c r="H54" s="12">
        <f t="shared" ref="H54:AN54" si="0">H42+H43</f>
        <v>35.807051495949672</v>
      </c>
      <c r="I54" s="12">
        <f t="shared" si="0"/>
        <v>35.942553884485335</v>
      </c>
      <c r="J54" s="12">
        <f t="shared" si="0"/>
        <v>36.078056273021005</v>
      </c>
      <c r="K54" s="12">
        <f t="shared" si="0"/>
        <v>35.087650476646495</v>
      </c>
      <c r="L54" s="12">
        <f t="shared" si="0"/>
        <v>34.097244680271992</v>
      </c>
      <c r="M54" s="12">
        <f t="shared" si="0"/>
        <v>33.106838883897488</v>
      </c>
      <c r="N54" s="12">
        <f t="shared" si="0"/>
        <v>32.116433087522978</v>
      </c>
      <c r="O54" s="12">
        <f t="shared" si="0"/>
        <v>31.126027291148471</v>
      </c>
      <c r="P54" s="12">
        <f t="shared" si="0"/>
        <v>28.18575196360926</v>
      </c>
      <c r="Q54" s="12">
        <f t="shared" si="0"/>
        <v>25.245476636070052</v>
      </c>
      <c r="R54" s="12">
        <f t="shared" si="0"/>
        <v>22.30520130853084</v>
      </c>
      <c r="S54" s="12">
        <f t="shared" si="0"/>
        <v>19.364925980991629</v>
      </c>
      <c r="T54" s="12">
        <f t="shared" si="0"/>
        <v>16.424650653452414</v>
      </c>
      <c r="U54" s="12">
        <f t="shared" si="0"/>
        <v>14.205021572121316</v>
      </c>
      <c r="V54" s="12">
        <f t="shared" si="0"/>
        <v>11.98539249079022</v>
      </c>
      <c r="W54" s="12">
        <f t="shared" si="0"/>
        <v>9.7657634094591259</v>
      </c>
      <c r="X54" s="12">
        <f t="shared" si="0"/>
        <v>7.54613432812803</v>
      </c>
      <c r="Y54" s="12">
        <f t="shared" si="0"/>
        <v>5.326505246796934</v>
      </c>
      <c r="Z54" s="12">
        <f t="shared" si="0"/>
        <v>4.4711969467698971</v>
      </c>
      <c r="AA54" s="12">
        <f t="shared" si="0"/>
        <v>3.6158886467428601</v>
      </c>
      <c r="AB54" s="12">
        <f t="shared" si="0"/>
        <v>2.7605803467158236</v>
      </c>
      <c r="AC54" s="12">
        <f t="shared" si="0"/>
        <v>1.9052720466887867</v>
      </c>
      <c r="AD54" s="12">
        <f t="shared" si="0"/>
        <v>1.0499637466617497</v>
      </c>
      <c r="AE54" s="12">
        <f t="shared" si="0"/>
        <v>1.049963341554893</v>
      </c>
      <c r="AF54" s="12">
        <f t="shared" si="0"/>
        <v>1.0499629364480363</v>
      </c>
      <c r="AG54" s="12">
        <f t="shared" si="0"/>
        <v>1.0499625313411796</v>
      </c>
      <c r="AH54" s="12">
        <f t="shared" si="0"/>
        <v>1.0499621262343228</v>
      </c>
      <c r="AI54" s="12">
        <f t="shared" si="0"/>
        <v>1.0499617211274663</v>
      </c>
      <c r="AJ54" s="12">
        <f t="shared" si="0"/>
        <v>0.99523555430687627</v>
      </c>
      <c r="AK54" s="12">
        <f t="shared" si="0"/>
        <v>0.94050938748628621</v>
      </c>
      <c r="AL54" s="12">
        <f t="shared" si="0"/>
        <v>0.88578322066569615</v>
      </c>
      <c r="AM54" s="12">
        <f t="shared" si="0"/>
        <v>0.83105705384510609</v>
      </c>
      <c r="AN54" s="12">
        <f t="shared" si="0"/>
        <v>0.7763308870245158</v>
      </c>
    </row>
    <row r="55" spans="2:42" x14ac:dyDescent="0.25">
      <c r="B55" s="3" t="s">
        <v>27</v>
      </c>
      <c r="C55" s="12">
        <f>('Fig 06.2'!Q7+'Fig 06.2'!Q21+'Fig 06.2'!Q31+'Fig 06.2'!Q41)/1000/3.6*1.08</f>
        <v>8.2889315999999997</v>
      </c>
      <c r="D55" s="12">
        <f>('Fig 06.2'!R7+'Fig 06.2'!R21+'Fig 06.2'!R31+'Fig 06.2'!R41)/1000/3.6*1.08</f>
        <v>8.3562544800000005</v>
      </c>
      <c r="E55" s="12">
        <f>('Fig 06.2'!S7+'Fig 06.2'!S21+'Fig 06.2'!S31+'Fig 06.2'!S41)/1000/3.6*1.08</f>
        <v>8.2682859000000004</v>
      </c>
      <c r="F55" s="12">
        <f>('Fig 06.2'!T7+'Fig 06.2'!T21+'Fig 06.2'!T31+'Fig 06.2'!T41)/1000/3.6*1.08</f>
        <v>8.3204957999999998</v>
      </c>
      <c r="G55" s="12">
        <f>('Fig 06.2'!U7+'Fig 06.2'!U21+'Fig 06.2'!U31+'Fig 06.2'!U41)/1000/3.6*1.08</f>
        <v>7.9765518000000011</v>
      </c>
      <c r="H55" s="12">
        <f t="shared" ref="H55:AN55" si="1">H47</f>
        <v>3.8843561494373442</v>
      </c>
      <c r="I55" s="12">
        <f t="shared" si="1"/>
        <v>4.1255832768525611</v>
      </c>
      <c r="J55" s="12">
        <f t="shared" si="1"/>
        <v>4.3668104042677776</v>
      </c>
      <c r="K55" s="12">
        <f t="shared" si="1"/>
        <v>4.2404086924830757</v>
      </c>
      <c r="L55" s="12">
        <f t="shared" si="1"/>
        <v>4.1140069806983739</v>
      </c>
      <c r="M55" s="12">
        <f t="shared" si="1"/>
        <v>3.9876052689136725</v>
      </c>
      <c r="N55" s="12">
        <f t="shared" si="1"/>
        <v>3.8612035571289711</v>
      </c>
      <c r="O55" s="12">
        <f t="shared" si="1"/>
        <v>3.7348018453442697</v>
      </c>
      <c r="P55" s="12">
        <f t="shared" si="1"/>
        <v>4.977293048466656</v>
      </c>
      <c r="Q55" s="12">
        <f t="shared" si="1"/>
        <v>6.2197842515890418</v>
      </c>
      <c r="R55" s="12">
        <f t="shared" si="1"/>
        <v>7.4622754547114276</v>
      </c>
      <c r="S55" s="12">
        <f t="shared" si="1"/>
        <v>8.7047666578338134</v>
      </c>
      <c r="T55" s="12">
        <f t="shared" si="1"/>
        <v>9.9472578609561992</v>
      </c>
      <c r="U55" s="12">
        <f t="shared" si="1"/>
        <v>13.467192488532829</v>
      </c>
      <c r="V55" s="12">
        <f t="shared" si="1"/>
        <v>16.987127116109459</v>
      </c>
      <c r="W55" s="12">
        <f t="shared" si="1"/>
        <v>20.507061743686091</v>
      </c>
      <c r="X55" s="12">
        <f t="shared" si="1"/>
        <v>24.026996371262722</v>
      </c>
      <c r="Y55" s="12">
        <f t="shared" si="1"/>
        <v>27.54693099883935</v>
      </c>
      <c r="Z55" s="12">
        <f t="shared" si="1"/>
        <v>30.376893688473025</v>
      </c>
      <c r="AA55" s="12">
        <f t="shared" si="1"/>
        <v>33.2068563781067</v>
      </c>
      <c r="AB55" s="12">
        <f t="shared" si="1"/>
        <v>36.036819067740375</v>
      </c>
      <c r="AC55" s="12">
        <f t="shared" si="1"/>
        <v>38.866781757374049</v>
      </c>
      <c r="AD55" s="12">
        <f t="shared" si="1"/>
        <v>41.696744447007724</v>
      </c>
      <c r="AE55" s="12">
        <f t="shared" si="1"/>
        <v>42.597385632767242</v>
      </c>
      <c r="AF55" s="12">
        <f t="shared" si="1"/>
        <v>43.49802681852676</v>
      </c>
      <c r="AG55" s="12">
        <f t="shared" si="1"/>
        <v>44.398668004286279</v>
      </c>
      <c r="AH55" s="12">
        <f t="shared" si="1"/>
        <v>45.299309190045797</v>
      </c>
      <c r="AI55" s="12">
        <f t="shared" si="1"/>
        <v>46.199950375805308</v>
      </c>
      <c r="AJ55" s="12">
        <f t="shared" si="1"/>
        <v>50.720085397647544</v>
      </c>
      <c r="AK55" s="12">
        <f t="shared" si="1"/>
        <v>55.240220419489781</v>
      </c>
      <c r="AL55" s="12">
        <f t="shared" si="1"/>
        <v>59.760355441332017</v>
      </c>
      <c r="AM55" s="12">
        <f t="shared" si="1"/>
        <v>64.280490463174246</v>
      </c>
      <c r="AN55" s="12">
        <f t="shared" si="1"/>
        <v>68.800625485016482</v>
      </c>
    </row>
    <row r="56" spans="2:42" x14ac:dyDescent="0.25">
      <c r="B56" s="3" t="s">
        <v>30</v>
      </c>
      <c r="C56" s="12">
        <f>('Fig 06.2'!Q5+'Fig 06.2'!Q6+'Fig 06.2'!Q13+'Fig 06.2'!Q15+'Fig 06.2'!Q22+'Fig 06.2'!Q23+'Fig 06.2'!Q24+'Fig 06.2'!Q25+'Fig 06.2'!Q30+'Fig 06.2'!Q38+'Fig 06.2'!Q39)/3.6/1000*1.08</f>
        <v>78.602182800000008</v>
      </c>
      <c r="D56" s="12">
        <f>('Fig 06.2'!R5+'Fig 06.2'!R6+'Fig 06.2'!R13+'Fig 06.2'!R15+'Fig 06.2'!R22+'Fig 06.2'!R23+'Fig 06.2'!R24+'Fig 06.2'!R25+'Fig 06.2'!R30+'Fig 06.2'!R38+'Fig 06.2'!R39)/3.6/1000*1.08</f>
        <v>82.541823359999995</v>
      </c>
      <c r="E56" s="12">
        <f>('Fig 06.2'!S5+'Fig 06.2'!S6+'Fig 06.2'!S13+'Fig 06.2'!S15+'Fig 06.2'!S22+'Fig 06.2'!S23+'Fig 06.2'!S24+'Fig 06.2'!S25+'Fig 06.2'!S30+'Fig 06.2'!S38+'Fig 06.2'!S39)/3.6/1000*1.08</f>
        <v>89.116617599999998</v>
      </c>
      <c r="F56" s="12">
        <f>('Fig 06.2'!T5+'Fig 06.2'!T6+'Fig 06.2'!T13+'Fig 06.2'!T15+'Fig 06.2'!T22+'Fig 06.2'!T23+'Fig 06.2'!T24+'Fig 06.2'!T25+'Fig 06.2'!T30+'Fig 06.2'!T38+'Fig 06.2'!T39)/3.6/1000*1.08</f>
        <v>93.065878199999986</v>
      </c>
      <c r="G56" s="12">
        <f>('Fig 06.2'!U5+'Fig 06.2'!U6+'Fig 06.2'!U13+'Fig 06.2'!U15+'Fig 06.2'!U22+'Fig 06.2'!U23+'Fig 06.2'!U24+'Fig 06.2'!U25+'Fig 06.2'!U30+'Fig 06.2'!U38+'Fig 06.2'!U39)/3.6/1000*1.08</f>
        <v>90.931443477578483</v>
      </c>
      <c r="H56" s="12">
        <f t="shared" ref="H56:AN56" si="2">H45+H46+H44</f>
        <v>109.88753639486669</v>
      </c>
      <c r="I56" s="12">
        <f t="shared" si="2"/>
        <v>110.99920545837324</v>
      </c>
      <c r="J56" s="12">
        <f t="shared" si="2"/>
        <v>112.11087452187975</v>
      </c>
      <c r="K56" s="12">
        <f t="shared" si="2"/>
        <v>113.41910928684872</v>
      </c>
      <c r="L56" s="12">
        <f t="shared" si="2"/>
        <v>114.72734405181764</v>
      </c>
      <c r="M56" s="12">
        <f t="shared" si="2"/>
        <v>116.03557881678657</v>
      </c>
      <c r="N56" s="12">
        <f t="shared" si="2"/>
        <v>117.3438135817555</v>
      </c>
      <c r="O56" s="12">
        <f t="shared" si="2"/>
        <v>118.65204834672438</v>
      </c>
      <c r="P56" s="12">
        <f t="shared" si="2"/>
        <v>120.10536986316515</v>
      </c>
      <c r="Q56" s="12">
        <f t="shared" si="2"/>
        <v>121.5586913796059</v>
      </c>
      <c r="R56" s="12">
        <f t="shared" si="2"/>
        <v>123.01201289604667</v>
      </c>
      <c r="S56" s="12">
        <f t="shared" si="2"/>
        <v>124.46533441248745</v>
      </c>
      <c r="T56" s="12">
        <f t="shared" si="2"/>
        <v>125.91865592892825</v>
      </c>
      <c r="U56" s="12">
        <f t="shared" si="2"/>
        <v>124.03244977491011</v>
      </c>
      <c r="V56" s="12">
        <f t="shared" si="2"/>
        <v>122.14624362089195</v>
      </c>
      <c r="W56" s="12">
        <f t="shared" si="2"/>
        <v>120.26003746687381</v>
      </c>
      <c r="X56" s="12">
        <f t="shared" si="2"/>
        <v>118.37383131285567</v>
      </c>
      <c r="Y56" s="12">
        <f t="shared" si="2"/>
        <v>116.48762515883755</v>
      </c>
      <c r="Z56" s="12">
        <f t="shared" si="2"/>
        <v>114.05629982262829</v>
      </c>
      <c r="AA56" s="12">
        <f t="shared" si="2"/>
        <v>111.62497448641903</v>
      </c>
      <c r="AB56" s="12">
        <f t="shared" si="2"/>
        <v>109.19364915020978</v>
      </c>
      <c r="AC56" s="12">
        <f t="shared" si="2"/>
        <v>106.76232381400052</v>
      </c>
      <c r="AD56" s="12">
        <f t="shared" si="2"/>
        <v>104.33099847779124</v>
      </c>
      <c r="AE56" s="12">
        <f t="shared" si="2"/>
        <v>102.99271952993374</v>
      </c>
      <c r="AF56" s="12">
        <f t="shared" si="2"/>
        <v>101.65444058207626</v>
      </c>
      <c r="AG56" s="12">
        <f t="shared" si="2"/>
        <v>100.31616163421877</v>
      </c>
      <c r="AH56" s="12">
        <f t="shared" si="2"/>
        <v>98.977882686361298</v>
      </c>
      <c r="AI56" s="12">
        <f t="shared" si="2"/>
        <v>97.639603738503808</v>
      </c>
      <c r="AJ56" s="12">
        <f t="shared" si="2"/>
        <v>93.098261501310105</v>
      </c>
      <c r="AK56" s="12">
        <f t="shared" si="2"/>
        <v>88.556919264116416</v>
      </c>
      <c r="AL56" s="12">
        <f t="shared" si="2"/>
        <v>84.015577026922713</v>
      </c>
      <c r="AM56" s="12">
        <f t="shared" si="2"/>
        <v>79.47423478972901</v>
      </c>
      <c r="AN56" s="12">
        <f t="shared" si="2"/>
        <v>74.932892552535364</v>
      </c>
    </row>
    <row r="57" spans="2:42" x14ac:dyDescent="0.25">
      <c r="B57" s="3" t="s">
        <v>28</v>
      </c>
      <c r="C57" s="12">
        <f>('Fig 06.2'!Q9+'Fig 06.2'!Q16+'Fig 06.2'!Q20+'Fig 06.2'!Q37+'Fig 06.2'!Q42)/3.6/1000*1.08</f>
        <v>9.6214025999999997</v>
      </c>
      <c r="D57" s="12">
        <f>('Fig 06.2'!R9+'Fig 06.2'!R16+'Fig 06.2'!R20+'Fig 06.2'!R37+'Fig 06.2'!R42)/3.6/1000*1.08</f>
        <v>10.57310112</v>
      </c>
      <c r="E57" s="12">
        <f>('Fig 06.2'!S9+'Fig 06.2'!S16+'Fig 06.2'!S20+'Fig 06.2'!S37+'Fig 06.2'!S42)/3.6/1000*1.08</f>
        <v>11.9643648</v>
      </c>
      <c r="F57" s="12">
        <f>('Fig 06.2'!T9+'Fig 06.2'!T16+'Fig 06.2'!T20+'Fig 06.2'!T37+'Fig 06.2'!T42)/3.6/1000*1.08</f>
        <v>12.4107336</v>
      </c>
      <c r="G57" s="12">
        <f>('Fig 06.2'!U9+'Fig 06.2'!U16+'Fig 06.2'!U20+'Fig 06.2'!U37+'Fig 06.2'!U42)/3.6/1000*1.08</f>
        <v>13.840362720000003</v>
      </c>
      <c r="H57" s="12">
        <f t="shared" ref="H57:AN57" si="3">H48</f>
        <v>0</v>
      </c>
      <c r="I57" s="12">
        <f t="shared" si="3"/>
        <v>0</v>
      </c>
      <c r="J57" s="12">
        <f t="shared" si="3"/>
        <v>0</v>
      </c>
      <c r="K57" s="12">
        <f t="shared" si="3"/>
        <v>0</v>
      </c>
      <c r="L57" s="12">
        <f t="shared" si="3"/>
        <v>0</v>
      </c>
      <c r="M57" s="12">
        <f t="shared" si="3"/>
        <v>0</v>
      </c>
      <c r="N57" s="12">
        <f t="shared" si="3"/>
        <v>0</v>
      </c>
      <c r="O57" s="12">
        <f t="shared" si="3"/>
        <v>0</v>
      </c>
      <c r="P57" s="12">
        <f t="shared" si="3"/>
        <v>0</v>
      </c>
      <c r="Q57" s="12">
        <f t="shared" si="3"/>
        <v>0</v>
      </c>
      <c r="R57" s="12">
        <f t="shared" si="3"/>
        <v>0</v>
      </c>
      <c r="S57" s="12">
        <f t="shared" si="3"/>
        <v>0</v>
      </c>
      <c r="T57" s="12">
        <f t="shared" si="3"/>
        <v>0</v>
      </c>
      <c r="U57" s="12">
        <f t="shared" si="3"/>
        <v>0</v>
      </c>
      <c r="V57" s="12">
        <f t="shared" si="3"/>
        <v>0</v>
      </c>
      <c r="W57" s="12">
        <f t="shared" si="3"/>
        <v>0</v>
      </c>
      <c r="X57" s="12">
        <f t="shared" si="3"/>
        <v>0</v>
      </c>
      <c r="Y57" s="12">
        <f t="shared" si="3"/>
        <v>0</v>
      </c>
      <c r="Z57" s="12">
        <f t="shared" si="3"/>
        <v>0</v>
      </c>
      <c r="AA57" s="12">
        <f t="shared" si="3"/>
        <v>0</v>
      </c>
      <c r="AB57" s="12">
        <f t="shared" si="3"/>
        <v>0</v>
      </c>
      <c r="AC57" s="12">
        <f t="shared" si="3"/>
        <v>0</v>
      </c>
      <c r="AD57" s="12">
        <f t="shared" si="3"/>
        <v>0</v>
      </c>
      <c r="AE57" s="12">
        <f t="shared" si="3"/>
        <v>0</v>
      </c>
      <c r="AF57" s="12">
        <f t="shared" si="3"/>
        <v>0</v>
      </c>
      <c r="AG57" s="12">
        <f t="shared" si="3"/>
        <v>0</v>
      </c>
      <c r="AH57" s="12">
        <f t="shared" si="3"/>
        <v>0</v>
      </c>
      <c r="AI57" s="12">
        <f t="shared" si="3"/>
        <v>0</v>
      </c>
      <c r="AJ57" s="12">
        <f t="shared" si="3"/>
        <v>0</v>
      </c>
      <c r="AK57" s="12">
        <f t="shared" si="3"/>
        <v>0</v>
      </c>
      <c r="AL57" s="12">
        <f t="shared" si="3"/>
        <v>0</v>
      </c>
      <c r="AM57" s="12">
        <f t="shared" si="3"/>
        <v>0</v>
      </c>
      <c r="AN57" s="12">
        <f t="shared" si="3"/>
        <v>0</v>
      </c>
    </row>
    <row r="58" spans="2:42" x14ac:dyDescent="0.25">
      <c r="D58" s="12"/>
      <c r="F58" s="12">
        <v>160</v>
      </c>
      <c r="G58" s="12">
        <v>160</v>
      </c>
      <c r="H58" s="12"/>
      <c r="I58" s="12"/>
      <c r="K58" s="12"/>
      <c r="L58" s="12"/>
      <c r="M58" s="12"/>
      <c r="N58" s="12"/>
      <c r="P58" s="12"/>
      <c r="Q58" s="12"/>
      <c r="R58" s="12"/>
      <c r="S58" s="12"/>
      <c r="U58" s="12"/>
      <c r="V58" s="12"/>
      <c r="W58" s="12"/>
      <c r="X58" s="12"/>
      <c r="Z58" s="12"/>
      <c r="AA58" s="12"/>
      <c r="AB58" s="12"/>
      <c r="AC58" s="12"/>
      <c r="AE58" s="12"/>
      <c r="AF58" s="12"/>
      <c r="AG58" s="12"/>
      <c r="AH58" s="12"/>
      <c r="AJ58" s="12"/>
      <c r="AK58" s="12"/>
      <c r="AL58" s="12"/>
      <c r="AM58" s="12"/>
      <c r="AN58" s="3"/>
    </row>
    <row r="59" spans="2:42" x14ac:dyDescent="0.25">
      <c r="C59" s="12"/>
      <c r="D59" s="12"/>
      <c r="E59" s="12"/>
      <c r="F59" s="12"/>
      <c r="G59" s="12"/>
      <c r="O59" s="4"/>
      <c r="P59" s="4"/>
    </row>
    <row r="60" spans="2:42" x14ac:dyDescent="0.25">
      <c r="O60" s="4"/>
      <c r="P60" s="4"/>
    </row>
    <row r="61" spans="2:42" x14ac:dyDescent="0.25">
      <c r="O61" s="4"/>
      <c r="P61" s="4"/>
    </row>
    <row r="62" spans="2:42" x14ac:dyDescent="0.25">
      <c r="O62" s="4"/>
      <c r="P62" s="4"/>
    </row>
    <row r="63" spans="2:42" x14ac:dyDescent="0.25">
      <c r="O63" s="4"/>
      <c r="P63" s="4"/>
    </row>
    <row r="64" spans="2:42" x14ac:dyDescent="0.25">
      <c r="O64" s="4"/>
      <c r="P64" s="4"/>
    </row>
    <row r="65" spans="15:16" x14ac:dyDescent="0.25">
      <c r="O65" s="4"/>
      <c r="P65" s="4"/>
    </row>
    <row r="66" spans="15:16" x14ac:dyDescent="0.25">
      <c r="O66" s="4">
        <f>SUM(C42:C48)*3.6</f>
        <v>561.00399999999991</v>
      </c>
      <c r="P66" s="4"/>
    </row>
    <row r="67" spans="15:16" x14ac:dyDescent="0.25">
      <c r="O67" s="4"/>
      <c r="P67" s="4"/>
    </row>
    <row r="68" spans="15:16" x14ac:dyDescent="0.25">
      <c r="O68" s="4"/>
      <c r="P68" s="4"/>
    </row>
    <row r="69" spans="15:16" x14ac:dyDescent="0.25">
      <c r="O69" s="4"/>
      <c r="P69" s="4"/>
    </row>
    <row r="70" spans="15:16" x14ac:dyDescent="0.25">
      <c r="O70" s="4"/>
      <c r="P70" s="4"/>
    </row>
    <row r="71" spans="15:16" x14ac:dyDescent="0.25">
      <c r="O71" s="4"/>
      <c r="P71" s="4"/>
    </row>
    <row r="72" spans="15:16" x14ac:dyDescent="0.25">
      <c r="O72" s="4"/>
      <c r="P72" s="4"/>
    </row>
    <row r="73" spans="15:16" x14ac:dyDescent="0.25">
      <c r="O73" s="4"/>
      <c r="P73" s="4"/>
    </row>
    <row r="74" spans="15:16" x14ac:dyDescent="0.25">
      <c r="O74" s="4"/>
      <c r="P74" s="4"/>
    </row>
    <row r="75" spans="15:16" x14ac:dyDescent="0.25">
      <c r="O75" s="4"/>
      <c r="P75" s="4"/>
    </row>
    <row r="76" spans="15:16" x14ac:dyDescent="0.25">
      <c r="O76" s="4"/>
      <c r="P76" s="4"/>
    </row>
    <row r="77" spans="15:16" x14ac:dyDescent="0.25">
      <c r="O77" s="4"/>
      <c r="P77" s="4"/>
    </row>
    <row r="78" spans="15:16" x14ac:dyDescent="0.25">
      <c r="O78" s="4"/>
      <c r="P78" s="4"/>
    </row>
    <row r="79" spans="15:16" x14ac:dyDescent="0.25">
      <c r="O79" s="4"/>
      <c r="P79" s="4"/>
    </row>
    <row r="80" spans="15:16" x14ac:dyDescent="0.25">
      <c r="O80" s="4"/>
      <c r="P80" s="4"/>
    </row>
    <row r="81" spans="15:16" x14ac:dyDescent="0.25">
      <c r="O81" s="4"/>
      <c r="P81" s="4"/>
    </row>
    <row r="82" spans="15:16" x14ac:dyDescent="0.25">
      <c r="O82" s="4"/>
      <c r="P82" s="4"/>
    </row>
    <row r="83" spans="15:16" x14ac:dyDescent="0.25">
      <c r="O83" s="4"/>
      <c r="P83" s="4"/>
    </row>
    <row r="84" spans="15:16" x14ac:dyDescent="0.25">
      <c r="O84" s="4"/>
      <c r="P84" s="4"/>
    </row>
    <row r="85" spans="15:16" x14ac:dyDescent="0.25">
      <c r="O85" s="4"/>
      <c r="P85" s="4"/>
    </row>
    <row r="86" spans="15:16" x14ac:dyDescent="0.25">
      <c r="O86" s="4"/>
      <c r="P86" s="4"/>
    </row>
    <row r="87" spans="15:16" x14ac:dyDescent="0.25">
      <c r="O87" s="4"/>
      <c r="P87" s="4"/>
    </row>
    <row r="88" spans="15:16" x14ac:dyDescent="0.25">
      <c r="O88" s="4"/>
      <c r="P88" s="4"/>
    </row>
    <row r="89" spans="15:16" x14ac:dyDescent="0.25">
      <c r="O89" s="4"/>
      <c r="P89" s="4"/>
    </row>
    <row r="90" spans="15:16" x14ac:dyDescent="0.25">
      <c r="O90" s="4"/>
      <c r="P90" s="4"/>
    </row>
    <row r="91" spans="15:16" x14ac:dyDescent="0.25">
      <c r="O91" s="4"/>
      <c r="P91" s="4"/>
    </row>
    <row r="92" spans="15:16" x14ac:dyDescent="0.25">
      <c r="O92" s="4"/>
      <c r="P92" s="4"/>
    </row>
    <row r="93" spans="15:16" x14ac:dyDescent="0.25">
      <c r="O93" s="4"/>
      <c r="P93" s="4"/>
    </row>
    <row r="94" spans="15:16" x14ac:dyDescent="0.25">
      <c r="O94" s="4"/>
      <c r="P94" s="4"/>
    </row>
    <row r="95" spans="15:16" x14ac:dyDescent="0.25">
      <c r="O95" s="4"/>
      <c r="P95" s="4"/>
    </row>
  </sheetData>
  <pageMargins left="0" right="0" top="0" bottom="0" header="0" footer="0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BE252-7FEC-4390-8346-97E0C49C2694}">
  <dimension ref="A1:AC115"/>
  <sheetViews>
    <sheetView topLeftCell="A52" zoomScale="55" zoomScaleNormal="55" workbookViewId="0">
      <selection activeCell="E7" sqref="E7"/>
    </sheetView>
  </sheetViews>
  <sheetFormatPr defaultRowHeight="15" x14ac:dyDescent="0.25"/>
  <cols>
    <col min="2" max="2" width="26.7109375" customWidth="1"/>
    <col min="11" max="11" width="9.42578125" customWidth="1"/>
    <col min="18" max="18" width="10.5703125" customWidth="1"/>
    <col min="23" max="23" width="13.85546875" customWidth="1"/>
  </cols>
  <sheetData>
    <row r="1" spans="2:29" x14ac:dyDescent="0.25">
      <c r="B1" s="65" t="s">
        <v>232</v>
      </c>
      <c r="R1" s="13"/>
      <c r="S1" s="13"/>
      <c r="T1" s="13"/>
      <c r="U1" s="13"/>
      <c r="V1" s="13"/>
      <c r="W1" s="13"/>
      <c r="X1" s="13"/>
    </row>
    <row r="2" spans="2:29" ht="15.75" thickBot="1" x14ac:dyDescent="0.3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2:29" ht="15.75" thickBot="1" x14ac:dyDescent="0.3">
      <c r="B3" s="14" t="s">
        <v>31</v>
      </c>
      <c r="I3" s="35"/>
      <c r="K3" s="15">
        <v>2008</v>
      </c>
      <c r="L3" s="15">
        <v>2009</v>
      </c>
      <c r="M3" s="15">
        <v>2010</v>
      </c>
      <c r="N3" s="15">
        <v>2011</v>
      </c>
      <c r="O3" s="15">
        <v>2012</v>
      </c>
      <c r="P3" s="15">
        <v>2013</v>
      </c>
      <c r="Q3" s="15">
        <v>2014</v>
      </c>
      <c r="R3" s="15">
        <v>2015</v>
      </c>
      <c r="S3" s="15">
        <v>2016</v>
      </c>
      <c r="T3" s="16">
        <v>2017</v>
      </c>
      <c r="U3" s="64">
        <v>2018</v>
      </c>
      <c r="V3" s="13"/>
      <c r="W3" s="13"/>
      <c r="X3" s="13"/>
    </row>
    <row r="4" spans="2:29" x14ac:dyDescent="0.25">
      <c r="B4" s="17" t="s">
        <v>32</v>
      </c>
      <c r="K4" s="18">
        <v>11737.080000000002</v>
      </c>
      <c r="L4" s="18">
        <v>13120.2</v>
      </c>
      <c r="M4" s="18">
        <v>17398.439999999999</v>
      </c>
      <c r="N4" s="18">
        <v>15255</v>
      </c>
      <c r="O4" s="18">
        <v>16999.2</v>
      </c>
      <c r="P4" s="18">
        <v>19017.36</v>
      </c>
      <c r="Q4" s="18">
        <v>18072.72</v>
      </c>
      <c r="R4" s="18">
        <v>19599.84</v>
      </c>
      <c r="S4" s="18">
        <v>21274.560000000001</v>
      </c>
      <c r="T4" s="18">
        <v>22135.32</v>
      </c>
      <c r="U4">
        <f>6474.3*3.6</f>
        <v>23307.48</v>
      </c>
      <c r="V4" s="13"/>
      <c r="W4" s="13"/>
      <c r="X4" s="13"/>
    </row>
    <row r="5" spans="2:29" x14ac:dyDescent="0.25">
      <c r="B5" s="19" t="s">
        <v>33</v>
      </c>
      <c r="K5" s="20">
        <v>5104.4400000000005</v>
      </c>
      <c r="L5" s="20">
        <v>4725.3599999999997</v>
      </c>
      <c r="M5" s="20">
        <v>5629.3200000000006</v>
      </c>
      <c r="N5" s="20">
        <v>6317.64</v>
      </c>
      <c r="O5" s="20">
        <v>7184.88</v>
      </c>
      <c r="P5" s="20">
        <v>8154.36</v>
      </c>
      <c r="Q5" s="20">
        <v>8979.4800000000014</v>
      </c>
      <c r="R5" s="20">
        <v>9631.8000000000011</v>
      </c>
      <c r="S5" s="20">
        <v>9919.0800000000017</v>
      </c>
      <c r="T5" s="20">
        <v>10524.24</v>
      </c>
      <c r="U5">
        <f>2942.6*3.6</f>
        <v>10593.36</v>
      </c>
      <c r="V5" s="13"/>
      <c r="W5" s="13"/>
      <c r="X5" s="13"/>
    </row>
    <row r="6" spans="2:29" x14ac:dyDescent="0.25">
      <c r="B6" s="19" t="s">
        <v>34</v>
      </c>
      <c r="K6" s="20">
        <v>1628.28</v>
      </c>
      <c r="L6" s="20">
        <v>1978.9200000000003</v>
      </c>
      <c r="M6" s="20">
        <v>3237.1200000000003</v>
      </c>
      <c r="N6" s="20">
        <v>2760.84</v>
      </c>
      <c r="O6" s="20">
        <v>3236.4</v>
      </c>
      <c r="P6" s="20">
        <v>4101.4799999999996</v>
      </c>
      <c r="Q6" s="20">
        <v>3267</v>
      </c>
      <c r="R6" s="20">
        <v>4026.6</v>
      </c>
      <c r="S6" s="20">
        <v>4634.2800000000007</v>
      </c>
      <c r="T6" s="20">
        <v>4856.04</v>
      </c>
      <c r="U6" s="35">
        <f>3.6*(1481.8+81)</f>
        <v>5626.08</v>
      </c>
    </row>
    <row r="7" spans="2:29" x14ac:dyDescent="0.25">
      <c r="B7" s="19" t="s">
        <v>35</v>
      </c>
      <c r="K7" s="20">
        <v>3165.48</v>
      </c>
      <c r="L7" s="20">
        <v>3915.3600000000006</v>
      </c>
      <c r="M7" s="20">
        <v>3875.04</v>
      </c>
      <c r="N7" s="20">
        <v>3326.3999999999996</v>
      </c>
      <c r="O7" s="20">
        <v>4350.6000000000004</v>
      </c>
      <c r="P7" s="20">
        <v>4633.2</v>
      </c>
      <c r="Q7" s="20">
        <v>4089.96</v>
      </c>
      <c r="R7" s="20">
        <v>4377.24</v>
      </c>
      <c r="S7" s="20">
        <v>4890.9600000000009</v>
      </c>
      <c r="T7" s="20">
        <v>5007.24</v>
      </c>
      <c r="U7" s="35">
        <f>3.6*(752+643.3)</f>
        <v>5023.08</v>
      </c>
    </row>
    <row r="8" spans="2:29" x14ac:dyDescent="0.25">
      <c r="B8" s="19" t="s">
        <v>36</v>
      </c>
      <c r="K8" s="20">
        <v>1293.1199999999999</v>
      </c>
      <c r="L8" s="20">
        <v>1875.6000000000001</v>
      </c>
      <c r="M8" s="20">
        <v>3909.6</v>
      </c>
      <c r="N8" s="20">
        <v>2284.1999999999998</v>
      </c>
      <c r="O8" s="20">
        <v>1498.3200000000002</v>
      </c>
      <c r="P8" s="20">
        <v>1385.64</v>
      </c>
      <c r="Q8" s="20">
        <v>1013.4</v>
      </c>
      <c r="R8" s="20">
        <v>912.24</v>
      </c>
      <c r="S8" s="20">
        <v>1167.8400000000001</v>
      </c>
      <c r="T8" s="20">
        <v>1104.1200000000001</v>
      </c>
      <c r="U8" s="35">
        <f>3.6*(54.7+320.9)</f>
        <v>1352.1599999999999</v>
      </c>
    </row>
    <row r="9" spans="2:29" x14ac:dyDescent="0.25">
      <c r="B9" s="19" t="s">
        <v>37</v>
      </c>
      <c r="K9" s="20">
        <v>545.4</v>
      </c>
      <c r="L9" s="20">
        <v>625.31999999999994</v>
      </c>
      <c r="M9" s="20">
        <v>747.36</v>
      </c>
      <c r="N9" s="20">
        <v>565.91999999999996</v>
      </c>
      <c r="O9" s="20">
        <v>729</v>
      </c>
      <c r="P9" s="20">
        <v>743.04000000000008</v>
      </c>
      <c r="Q9" s="20">
        <v>722.52</v>
      </c>
      <c r="R9" s="20">
        <v>651.96</v>
      </c>
      <c r="S9" s="20">
        <v>662.4</v>
      </c>
      <c r="T9" s="20">
        <v>643.68000000000006</v>
      </c>
      <c r="U9" s="35">
        <f>3.6*198</f>
        <v>712.80000000000007</v>
      </c>
      <c r="V9" s="13"/>
      <c r="W9" s="13"/>
      <c r="X9" s="13"/>
    </row>
    <row r="10" spans="2:29" ht="15.75" thickBot="1" x14ac:dyDescent="0.3">
      <c r="Q10" s="13"/>
      <c r="R10" s="13"/>
      <c r="S10" s="13"/>
      <c r="T10" s="13"/>
      <c r="U10" s="13"/>
      <c r="V10" s="13"/>
      <c r="W10" s="13"/>
      <c r="X10" s="13"/>
      <c r="Y10" s="30"/>
      <c r="Z10" s="30"/>
      <c r="AA10" s="30"/>
      <c r="AB10" s="30"/>
      <c r="AC10" s="30"/>
    </row>
    <row r="11" spans="2:29" ht="15.75" thickBot="1" x14ac:dyDescent="0.3">
      <c r="B11" s="14" t="s">
        <v>38</v>
      </c>
      <c r="C11" s="21" t="s">
        <v>39</v>
      </c>
      <c r="D11" s="21" t="s">
        <v>40</v>
      </c>
      <c r="E11" s="21" t="s">
        <v>41</v>
      </c>
      <c r="F11" s="21" t="s">
        <v>42</v>
      </c>
      <c r="G11" s="21" t="s">
        <v>43</v>
      </c>
      <c r="H11" s="21" t="s">
        <v>44</v>
      </c>
      <c r="I11" s="21" t="s">
        <v>45</v>
      </c>
      <c r="J11" s="21" t="s">
        <v>46</v>
      </c>
      <c r="K11" s="21" t="s">
        <v>47</v>
      </c>
      <c r="L11" s="21" t="s">
        <v>52</v>
      </c>
      <c r="M11" s="21" t="s">
        <v>53</v>
      </c>
      <c r="N11" s="21" t="s">
        <v>54</v>
      </c>
      <c r="O11" s="21" t="s">
        <v>55</v>
      </c>
      <c r="P11" s="22" t="s">
        <v>56</v>
      </c>
      <c r="Q11" s="121" t="s">
        <v>48</v>
      </c>
      <c r="R11" s="122" t="s">
        <v>49</v>
      </c>
      <c r="S11" s="113" t="s">
        <v>50</v>
      </c>
      <c r="T11" s="113" t="s">
        <v>51</v>
      </c>
      <c r="U11" s="123" t="s">
        <v>151</v>
      </c>
      <c r="Y11" s="125"/>
      <c r="Z11" s="125"/>
      <c r="AA11" s="125"/>
      <c r="AB11" s="125"/>
      <c r="AC11" s="125"/>
    </row>
    <row r="12" spans="2:29" x14ac:dyDescent="0.25">
      <c r="B12" s="23" t="s">
        <v>32</v>
      </c>
      <c r="C12" s="35">
        <f>SUM(C13:C16)</f>
        <v>100566.00000000001</v>
      </c>
      <c r="D12" s="35">
        <f t="shared" ref="D12:U12" si="0">SUM(D13:D16)</f>
        <v>111276.00000000001</v>
      </c>
      <c r="E12" s="35">
        <f t="shared" si="0"/>
        <v>114991.2</v>
      </c>
      <c r="F12" s="35">
        <f t="shared" si="0"/>
        <v>120445.20000000001</v>
      </c>
      <c r="G12" s="35">
        <f t="shared" si="0"/>
        <v>118281.60000000001</v>
      </c>
      <c r="H12" s="35">
        <f t="shared" si="0"/>
        <v>116078.40000000001</v>
      </c>
      <c r="I12" s="35">
        <f t="shared" si="0"/>
        <v>120020.40000000001</v>
      </c>
      <c r="J12" s="35">
        <f t="shared" si="0"/>
        <v>119343.6</v>
      </c>
      <c r="K12" s="35">
        <f t="shared" si="0"/>
        <v>120236.40000000001</v>
      </c>
      <c r="L12" s="35">
        <f t="shared" si="0"/>
        <v>127738.79999999999</v>
      </c>
      <c r="M12" s="35">
        <f t="shared" si="0"/>
        <v>142099.20000000001</v>
      </c>
      <c r="N12" s="35">
        <f t="shared" si="0"/>
        <v>127688.40000000001</v>
      </c>
      <c r="O12" s="35">
        <f t="shared" si="0"/>
        <v>139708.79999999999</v>
      </c>
      <c r="P12" s="35">
        <f t="shared" si="0"/>
        <v>131299.20000000001</v>
      </c>
      <c r="Q12" s="20">
        <f t="shared" si="0"/>
        <v>130363.2</v>
      </c>
      <c r="R12" s="20">
        <f t="shared" si="0"/>
        <v>126226.8</v>
      </c>
      <c r="S12" s="20">
        <f t="shared" si="0"/>
        <v>138686.40000000002</v>
      </c>
      <c r="T12" s="20">
        <f t="shared" si="0"/>
        <v>137880</v>
      </c>
      <c r="U12" s="20">
        <f t="shared" si="0"/>
        <v>138636</v>
      </c>
      <c r="Y12" s="27"/>
      <c r="Z12" s="27"/>
      <c r="AA12" s="27"/>
      <c r="AB12" s="27"/>
      <c r="AC12" s="27"/>
    </row>
    <row r="13" spans="2:29" x14ac:dyDescent="0.25">
      <c r="B13" s="25" t="s">
        <v>57</v>
      </c>
      <c r="C13" s="24">
        <v>784.80000000000007</v>
      </c>
      <c r="D13" s="24">
        <v>856.80000000000007</v>
      </c>
      <c r="E13" s="24">
        <v>856.80000000000007</v>
      </c>
      <c r="F13" s="24">
        <v>1029.6000000000001</v>
      </c>
      <c r="G13" s="24">
        <v>1335.6000000000001</v>
      </c>
      <c r="H13" s="24">
        <v>2185.2000000000003</v>
      </c>
      <c r="I13" s="24">
        <v>1627.2</v>
      </c>
      <c r="J13" s="24">
        <v>1922.4</v>
      </c>
      <c r="K13" s="24">
        <v>2415.6</v>
      </c>
      <c r="L13" s="24">
        <v>2444.4</v>
      </c>
      <c r="M13" s="24">
        <v>1879.2</v>
      </c>
      <c r="N13" s="24">
        <v>1659.6000000000001</v>
      </c>
      <c r="O13" s="24">
        <v>2516.4</v>
      </c>
      <c r="P13" s="119">
        <v>2995.2000000000003</v>
      </c>
      <c r="Q13" s="20">
        <v>3938.4</v>
      </c>
      <c r="R13" s="20">
        <v>4615.2</v>
      </c>
      <c r="S13" s="20">
        <v>5482.8</v>
      </c>
      <c r="T13" s="20">
        <v>5846.4000000000005</v>
      </c>
      <c r="U13" s="20">
        <v>5803.2</v>
      </c>
      <c r="Y13" s="27"/>
      <c r="Z13" s="27"/>
      <c r="AA13" s="27"/>
      <c r="AB13" s="27"/>
      <c r="AC13" s="27"/>
    </row>
    <row r="14" spans="2:29" x14ac:dyDescent="0.25">
      <c r="B14" s="25" t="s">
        <v>36</v>
      </c>
      <c r="C14" s="26">
        <v>86396.400000000009</v>
      </c>
      <c r="D14" s="26">
        <v>96969.600000000006</v>
      </c>
      <c r="E14" s="26">
        <v>99219.6</v>
      </c>
      <c r="F14" s="26">
        <v>103161.60000000001</v>
      </c>
      <c r="G14" s="26">
        <v>99637.2</v>
      </c>
      <c r="H14" s="26">
        <v>95241.600000000006</v>
      </c>
      <c r="I14" s="26">
        <v>98564.400000000009</v>
      </c>
      <c r="J14" s="26">
        <v>99777.600000000006</v>
      </c>
      <c r="K14" s="26">
        <v>95403.6</v>
      </c>
      <c r="L14" s="26">
        <v>100972.8</v>
      </c>
      <c r="M14" s="26">
        <v>110095.2</v>
      </c>
      <c r="N14" s="26">
        <v>93686.400000000009</v>
      </c>
      <c r="O14" s="26">
        <v>97948.800000000003</v>
      </c>
      <c r="P14" s="120">
        <v>86205.6</v>
      </c>
      <c r="Q14" s="20">
        <v>81370.8</v>
      </c>
      <c r="R14" s="20">
        <v>72021.600000000006</v>
      </c>
      <c r="S14" s="20">
        <v>77133.600000000006</v>
      </c>
      <c r="T14" s="20">
        <v>72082.8</v>
      </c>
      <c r="U14" s="20">
        <v>73868.400000000009</v>
      </c>
      <c r="Y14" s="27"/>
      <c r="Z14" s="27"/>
      <c r="AA14" s="27"/>
      <c r="AB14" s="27"/>
      <c r="AC14" s="27"/>
    </row>
    <row r="15" spans="2:29" x14ac:dyDescent="0.25">
      <c r="B15" s="25" t="s">
        <v>34</v>
      </c>
      <c r="C15" s="26">
        <v>11095.2</v>
      </c>
      <c r="D15" s="26">
        <v>11628</v>
      </c>
      <c r="E15" s="26">
        <v>12956.4</v>
      </c>
      <c r="F15" s="26">
        <v>13744.800000000001</v>
      </c>
      <c r="G15" s="26">
        <v>14947.2</v>
      </c>
      <c r="H15" s="26">
        <v>16344</v>
      </c>
      <c r="I15" s="26">
        <v>17463.600000000002</v>
      </c>
      <c r="J15" s="26">
        <v>15123.6</v>
      </c>
      <c r="K15" s="26">
        <v>18766.8</v>
      </c>
      <c r="L15" s="26">
        <v>21355.200000000001</v>
      </c>
      <c r="M15" s="26">
        <v>26697.600000000002</v>
      </c>
      <c r="N15" s="26">
        <v>29131.200000000001</v>
      </c>
      <c r="O15" s="26">
        <v>34912.800000000003</v>
      </c>
      <c r="P15" s="120">
        <v>37501.200000000004</v>
      </c>
      <c r="Q15" s="20">
        <v>39132</v>
      </c>
      <c r="R15" s="20">
        <v>39895.200000000004</v>
      </c>
      <c r="S15" s="20">
        <v>43272</v>
      </c>
      <c r="T15" s="20">
        <v>45626.400000000001</v>
      </c>
      <c r="U15" s="20">
        <v>45129.599999999999</v>
      </c>
      <c r="Y15" s="27"/>
      <c r="Z15" s="27"/>
      <c r="AA15" s="27"/>
      <c r="AB15" s="27"/>
      <c r="AC15" s="27"/>
    </row>
    <row r="16" spans="2:29" x14ac:dyDescent="0.25">
      <c r="B16" s="25" t="s">
        <v>58</v>
      </c>
      <c r="C16" s="26">
        <v>2289.6</v>
      </c>
      <c r="D16" s="26">
        <v>1821.6000000000001</v>
      </c>
      <c r="E16" s="26">
        <v>1958.4</v>
      </c>
      <c r="F16" s="26">
        <v>2509.2000000000003</v>
      </c>
      <c r="G16" s="26">
        <v>2361.6</v>
      </c>
      <c r="H16" s="26">
        <v>2307.6</v>
      </c>
      <c r="I16" s="26">
        <v>2365.2000000000003</v>
      </c>
      <c r="J16" s="26">
        <v>2520</v>
      </c>
      <c r="K16" s="26">
        <v>3650.4</v>
      </c>
      <c r="L16" s="26">
        <v>2966.4</v>
      </c>
      <c r="M16" s="26">
        <v>3427.2000000000003</v>
      </c>
      <c r="N16" s="26">
        <v>3211.2000000000003</v>
      </c>
      <c r="O16" s="26">
        <v>4330.8</v>
      </c>
      <c r="P16" s="120">
        <v>4597.2</v>
      </c>
      <c r="Q16" s="20">
        <v>5922</v>
      </c>
      <c r="R16" s="20">
        <v>9694.8000000000011</v>
      </c>
      <c r="S16" s="20">
        <v>12798</v>
      </c>
      <c r="T16" s="20">
        <v>14324.4</v>
      </c>
      <c r="U16" s="20">
        <v>13834.800000000001</v>
      </c>
      <c r="Y16" s="27"/>
      <c r="Z16" s="27"/>
      <c r="AA16" s="27"/>
      <c r="AB16" s="27"/>
      <c r="AC16" s="27"/>
    </row>
    <row r="17" spans="2:22" ht="15.75" thickBot="1" x14ac:dyDescent="0.3">
      <c r="L17" s="35"/>
    </row>
    <row r="18" spans="2:22" ht="15.75" thickBot="1" x14ac:dyDescent="0.3">
      <c r="B18" s="14" t="s">
        <v>59</v>
      </c>
      <c r="H18" s="15">
        <v>2005</v>
      </c>
      <c r="K18" s="118">
        <v>2008</v>
      </c>
      <c r="M18" s="15">
        <v>2010</v>
      </c>
      <c r="Q18" s="28">
        <v>2014</v>
      </c>
      <c r="R18" s="15">
        <v>2015</v>
      </c>
      <c r="S18" s="15">
        <v>2016</v>
      </c>
      <c r="T18" s="16">
        <v>2017</v>
      </c>
      <c r="U18" s="64">
        <v>2018</v>
      </c>
    </row>
    <row r="19" spans="2:22" x14ac:dyDescent="0.25">
      <c r="B19" s="17" t="s">
        <v>32</v>
      </c>
      <c r="H19" s="17">
        <v>128382</v>
      </c>
      <c r="K19" s="26">
        <f>SUM(K20:K26)</f>
        <v>126217</v>
      </c>
      <c r="L19" s="35"/>
      <c r="M19" s="17">
        <v>150393</v>
      </c>
      <c r="Q19" s="24">
        <v>121510</v>
      </c>
      <c r="R19" s="17">
        <v>130036</v>
      </c>
      <c r="S19" s="17">
        <v>134886</v>
      </c>
      <c r="T19" s="17">
        <v>135590</v>
      </c>
      <c r="U19" s="126">
        <v>134933</v>
      </c>
    </row>
    <row r="20" spans="2:22" x14ac:dyDescent="0.25">
      <c r="B20" s="29" t="s">
        <v>37</v>
      </c>
      <c r="H20" s="29">
        <v>3174</v>
      </c>
      <c r="K20" s="26">
        <v>2687</v>
      </c>
      <c r="M20" s="29">
        <v>2518</v>
      </c>
      <c r="Q20" s="26">
        <v>2533</v>
      </c>
      <c r="R20" s="29">
        <v>3130</v>
      </c>
      <c r="S20" s="29">
        <v>3458</v>
      </c>
      <c r="T20" s="29">
        <v>3744</v>
      </c>
      <c r="U20" s="127">
        <v>4055</v>
      </c>
    </row>
    <row r="21" spans="2:22" x14ac:dyDescent="0.25">
      <c r="B21" s="29" t="s">
        <v>35</v>
      </c>
      <c r="H21" s="29">
        <v>9</v>
      </c>
      <c r="K21" s="26">
        <v>0</v>
      </c>
      <c r="M21" s="29">
        <v>110</v>
      </c>
      <c r="Q21" s="19">
        <f>388+14+50</f>
        <v>452</v>
      </c>
      <c r="R21" s="29">
        <v>1147</v>
      </c>
      <c r="S21" s="29">
        <v>829</v>
      </c>
      <c r="T21" s="29">
        <v>1141</v>
      </c>
      <c r="U21" s="127">
        <v>1367</v>
      </c>
    </row>
    <row r="22" spans="2:22" x14ac:dyDescent="0.25">
      <c r="B22" s="29" t="s">
        <v>33</v>
      </c>
      <c r="H22" s="29">
        <v>10713</v>
      </c>
      <c r="K22" s="26">
        <v>10807</v>
      </c>
      <c r="M22" s="29">
        <v>10627</v>
      </c>
      <c r="Q22" s="26">
        <v>11396</v>
      </c>
      <c r="R22" s="29">
        <v>12245</v>
      </c>
      <c r="S22" s="29">
        <v>12202</v>
      </c>
      <c r="T22" s="29">
        <v>12541</v>
      </c>
      <c r="U22" s="127">
        <v>12697</v>
      </c>
    </row>
    <row r="23" spans="2:22" x14ac:dyDescent="0.25">
      <c r="B23" s="29" t="s">
        <v>60</v>
      </c>
      <c r="H23" s="29">
        <v>53</v>
      </c>
      <c r="K23" s="26">
        <v>67</v>
      </c>
      <c r="M23" s="29">
        <v>139</v>
      </c>
      <c r="Q23" s="26">
        <v>659</v>
      </c>
      <c r="R23" s="29">
        <v>956</v>
      </c>
      <c r="S23" s="29">
        <v>1375</v>
      </c>
      <c r="T23" s="29">
        <v>1733</v>
      </c>
      <c r="U23" s="127">
        <v>2134</v>
      </c>
    </row>
    <row r="24" spans="2:22" x14ac:dyDescent="0.25">
      <c r="B24" s="29" t="s">
        <v>26</v>
      </c>
      <c r="H24" s="29">
        <v>86</v>
      </c>
      <c r="K24" s="26">
        <v>250</v>
      </c>
      <c r="M24" s="29">
        <v>106</v>
      </c>
      <c r="Q24" s="26">
        <v>83</v>
      </c>
      <c r="R24" s="29">
        <v>70</v>
      </c>
      <c r="S24" s="29">
        <v>112</v>
      </c>
      <c r="T24" s="29">
        <v>76</v>
      </c>
      <c r="U24" s="127">
        <v>55</v>
      </c>
    </row>
    <row r="25" spans="2:22" x14ac:dyDescent="0.25">
      <c r="B25" s="29" t="s">
        <v>34</v>
      </c>
      <c r="H25" s="29">
        <v>34678</v>
      </c>
      <c r="K25" s="26">
        <v>37805</v>
      </c>
      <c r="M25" s="29">
        <v>51085</v>
      </c>
      <c r="Q25" s="19">
        <f>1723+55393</f>
        <v>57116</v>
      </c>
      <c r="R25" s="29">
        <v>61501</v>
      </c>
      <c r="S25" s="29">
        <v>65236</v>
      </c>
      <c r="T25" s="29">
        <v>75250</v>
      </c>
      <c r="U25" s="127">
        <v>76381</v>
      </c>
    </row>
    <row r="26" spans="2:22" x14ac:dyDescent="0.25">
      <c r="B26" s="29" t="s">
        <v>36</v>
      </c>
      <c r="H26" s="29">
        <v>79669</v>
      </c>
      <c r="K26" s="19">
        <f>4384+37228+32989</f>
        <v>74601</v>
      </c>
      <c r="M26" s="29">
        <v>85808</v>
      </c>
      <c r="Q26" s="19">
        <f>1156+23468+24648</f>
        <v>49272</v>
      </c>
      <c r="R26" s="29">
        <v>50987</v>
      </c>
      <c r="S26" s="29">
        <v>51674</v>
      </c>
      <c r="T26" s="29">
        <v>41105</v>
      </c>
      <c r="U26" s="24">
        <v>38245</v>
      </c>
    </row>
    <row r="27" spans="2:22" ht="15.75" thickBot="1" x14ac:dyDescent="0.3">
      <c r="L27" s="13"/>
    </row>
    <row r="28" spans="2:22" ht="15.75" thickBot="1" x14ac:dyDescent="0.3">
      <c r="B28" s="14" t="s">
        <v>61</v>
      </c>
      <c r="K28" s="31">
        <v>2008</v>
      </c>
      <c r="L28" s="110"/>
      <c r="Q28" s="31">
        <v>2014</v>
      </c>
      <c r="R28" s="31">
        <v>2015</v>
      </c>
      <c r="S28" s="31">
        <v>2016</v>
      </c>
      <c r="T28" s="32">
        <v>2017</v>
      </c>
      <c r="U28" s="63">
        <v>2018</v>
      </c>
      <c r="V28" s="65" t="s">
        <v>152</v>
      </c>
    </row>
    <row r="29" spans="2:22" x14ac:dyDescent="0.25">
      <c r="B29" s="17" t="s">
        <v>32</v>
      </c>
      <c r="K29" s="33">
        <f>K30+K31+K32</f>
        <v>23567</v>
      </c>
      <c r="L29" s="111"/>
      <c r="Q29" s="33">
        <f>Q30+Q31</f>
        <v>23510.799999999999</v>
      </c>
      <c r="R29" s="33">
        <f>R30+R31</f>
        <v>25325.65</v>
      </c>
      <c r="S29" s="33">
        <f>S30+S31</f>
        <v>31293.785</v>
      </c>
      <c r="T29" s="18">
        <f>T30+T31</f>
        <v>31919.629999999997</v>
      </c>
      <c r="U29" s="128">
        <f>117255/115068*T29</f>
        <v>32526.299367765147</v>
      </c>
      <c r="V29" t="s">
        <v>153</v>
      </c>
    </row>
    <row r="30" spans="2:22" x14ac:dyDescent="0.25">
      <c r="B30" s="19" t="s">
        <v>26</v>
      </c>
      <c r="K30" s="34">
        <v>22443</v>
      </c>
      <c r="L30" s="111"/>
      <c r="Q30" s="34">
        <v>22443</v>
      </c>
      <c r="R30" s="34">
        <v>24236</v>
      </c>
      <c r="S30" s="20">
        <v>30193.4</v>
      </c>
      <c r="T30" s="34">
        <v>30797.3</v>
      </c>
      <c r="U30" s="129">
        <f>105006/117255*U29</f>
        <v>29128.451591928249</v>
      </c>
    </row>
    <row r="31" spans="2:22" x14ac:dyDescent="0.25">
      <c r="B31" s="19" t="s">
        <v>35</v>
      </c>
      <c r="K31" s="34">
        <f>1124*0.95</f>
        <v>1067.8</v>
      </c>
      <c r="L31" s="111"/>
      <c r="Q31" s="34">
        <f>1124*0.95</f>
        <v>1067.8</v>
      </c>
      <c r="R31" s="34">
        <f>1147*0.95</f>
        <v>1089.6499999999999</v>
      </c>
      <c r="S31" s="20">
        <f>1158.3*0.95</f>
        <v>1100.385</v>
      </c>
      <c r="T31" s="34">
        <f>0.95*1181.4</f>
        <v>1122.33</v>
      </c>
      <c r="U31" s="130">
        <f>T31</f>
        <v>1122.33</v>
      </c>
      <c r="V31">
        <f>SUM(U30:U32)</f>
        <v>30309.851591928251</v>
      </c>
    </row>
    <row r="32" spans="2:22" x14ac:dyDescent="0.25">
      <c r="B32" s="19" t="s">
        <v>36</v>
      </c>
      <c r="K32" s="20">
        <f>1124*0.05</f>
        <v>56.2</v>
      </c>
      <c r="L32" s="112"/>
      <c r="Q32" s="20">
        <f>1124*0.05</f>
        <v>56.2</v>
      </c>
      <c r="R32" s="20">
        <f>1147*0.05</f>
        <v>57.35</v>
      </c>
      <c r="S32" s="20">
        <f>1158.3*0.05</f>
        <v>57.914999999999999</v>
      </c>
      <c r="T32" s="20">
        <f>1181.4*0.05</f>
        <v>59.070000000000007</v>
      </c>
      <c r="U32" s="18">
        <f>T32</f>
        <v>59.070000000000007</v>
      </c>
    </row>
    <row r="33" spans="2:23" x14ac:dyDescent="0.25">
      <c r="L33" s="13"/>
    </row>
    <row r="34" spans="2:23" ht="15.75" thickBot="1" x14ac:dyDescent="0.3">
      <c r="B34" t="s">
        <v>62</v>
      </c>
    </row>
    <row r="35" spans="2:23" ht="15.75" thickBot="1" x14ac:dyDescent="0.3">
      <c r="B35" s="14" t="s">
        <v>63</v>
      </c>
      <c r="K35" s="113">
        <v>2008</v>
      </c>
      <c r="P35" s="16">
        <v>2013</v>
      </c>
      <c r="Q35" s="15">
        <v>2014</v>
      </c>
      <c r="R35" s="15">
        <v>2015</v>
      </c>
      <c r="S35" s="15">
        <v>2016</v>
      </c>
      <c r="T35" s="31">
        <v>2017</v>
      </c>
      <c r="U35" s="63">
        <v>2018</v>
      </c>
    </row>
    <row r="36" spans="2:23" x14ac:dyDescent="0.25">
      <c r="B36" s="17" t="s">
        <v>32</v>
      </c>
      <c r="K36" s="19">
        <f>54.4*1000*3.6</f>
        <v>195840</v>
      </c>
      <c r="P36" s="17">
        <f>51824*3.6</f>
        <v>186566.39999999999</v>
      </c>
      <c r="Q36" s="17">
        <f>48545*3.6</f>
        <v>174762</v>
      </c>
      <c r="R36" s="17">
        <f>48761*3.6</f>
        <v>175539.6</v>
      </c>
      <c r="S36" s="17">
        <f>51440*3.6</f>
        <v>185184</v>
      </c>
      <c r="T36" s="17">
        <f>50755*3.6</f>
        <v>182718</v>
      </c>
      <c r="U36" s="131">
        <v>183424</v>
      </c>
    </row>
    <row r="37" spans="2:23" x14ac:dyDescent="0.25">
      <c r="B37" s="19" t="s">
        <v>37</v>
      </c>
      <c r="K37" s="19">
        <f>3.7*1000*3.6</f>
        <v>13320</v>
      </c>
      <c r="P37" s="19">
        <f>0.076*P36</f>
        <v>14179.046399999999</v>
      </c>
      <c r="Q37" s="19">
        <f>0.075*Q36</f>
        <v>13107.15</v>
      </c>
      <c r="R37" s="19">
        <f>0.076*R36</f>
        <v>13341.009599999999</v>
      </c>
      <c r="S37" s="19">
        <f>0.079*S36</f>
        <v>14629.536</v>
      </c>
      <c r="T37" s="19">
        <f>0.079*T36</f>
        <v>14434.722</v>
      </c>
      <c r="U37" s="129">
        <f>U36*0.077</f>
        <v>14123.647999999999</v>
      </c>
    </row>
    <row r="38" spans="2:23" x14ac:dyDescent="0.25">
      <c r="B38" s="19" t="s">
        <v>33</v>
      </c>
      <c r="K38" s="19">
        <f>7.5*3.6*1000</f>
        <v>27000</v>
      </c>
      <c r="P38" s="19">
        <f>P36*0.203</f>
        <v>37872.979200000002</v>
      </c>
      <c r="Q38" s="19">
        <f>Q36*0.235</f>
        <v>41069.07</v>
      </c>
      <c r="R38" s="19">
        <f>R36*0.245</f>
        <v>43007.201999999997</v>
      </c>
      <c r="S38" s="19">
        <f>S36*0.245</f>
        <v>45370.080000000002</v>
      </c>
      <c r="T38" s="19">
        <f>T36*0.245</f>
        <v>44765.909999999996</v>
      </c>
      <c r="U38" s="129">
        <f>U36*0.236</f>
        <v>43288.063999999998</v>
      </c>
    </row>
    <row r="39" spans="2:23" x14ac:dyDescent="0.25">
      <c r="B39" s="29" t="s">
        <v>34</v>
      </c>
      <c r="K39" s="19">
        <f>31.4*3.6*1000</f>
        <v>113039.99999999999</v>
      </c>
      <c r="P39" s="19">
        <f>0.394*P36+0.026*P36</f>
        <v>78357.888000000006</v>
      </c>
      <c r="Q39" s="19">
        <f>0.401*Q36+0.022*Q36</f>
        <v>73924.326000000001</v>
      </c>
      <c r="R39" s="19">
        <f>0.409*R36+0.018*R36</f>
        <v>74955.409199999995</v>
      </c>
      <c r="S39" s="19">
        <f>0.41*S36+0.018*S36</f>
        <v>79258.752000000008</v>
      </c>
      <c r="T39" s="19">
        <f>0.41*T36+0.018*T36</f>
        <v>78203.303999999989</v>
      </c>
      <c r="U39" s="129">
        <f>U36*0.394</f>
        <v>72269.055999999997</v>
      </c>
    </row>
    <row r="40" spans="2:23" x14ac:dyDescent="0.25">
      <c r="B40" s="29" t="s">
        <v>36</v>
      </c>
      <c r="K40" s="19">
        <f>(2.6+1.4+1.9)*3.6*1000</f>
        <v>21240.000000000004</v>
      </c>
      <c r="P40" s="26">
        <f>0.054*P36+P36*0.048+0.035*P36</f>
        <v>25559.596799999999</v>
      </c>
      <c r="Q40" s="26">
        <f>0.043*Q36+Q36*0.025+0.016*Q36</f>
        <v>14680.007999999998</v>
      </c>
      <c r="R40" s="26">
        <f>0.04*R36+R36*0.029+0.014*R36</f>
        <v>14569.786800000002</v>
      </c>
      <c r="S40" s="26">
        <f>0.039*S36+S36*0.029+0.023*S36</f>
        <v>16851.743999999999</v>
      </c>
      <c r="T40" s="26">
        <f>0.039*T36+T36*0.029+0.023*T36</f>
        <v>16627.338</v>
      </c>
      <c r="U40" s="129">
        <f>U36*(0.022+0.032+0.037+0.0249)</f>
        <v>21258.8416</v>
      </c>
    </row>
    <row r="41" spans="2:23" x14ac:dyDescent="0.25">
      <c r="B41" s="29" t="s">
        <v>35</v>
      </c>
      <c r="K41" s="19">
        <f>(5.7+0.2)*3.6*1000</f>
        <v>21240.000000000004</v>
      </c>
      <c r="P41" s="19">
        <f>(0.071+0.036)*P36</f>
        <v>19962.604799999997</v>
      </c>
      <c r="Q41" s="19">
        <f>(0.088+0.038)*Q36</f>
        <v>22020.011999999999</v>
      </c>
      <c r="R41" s="19">
        <f>(0.084+0.037)*R36</f>
        <v>21240.2916</v>
      </c>
      <c r="S41" s="19">
        <f>(0.073+0.039)*S36</f>
        <v>20740.607999999997</v>
      </c>
      <c r="T41" s="19">
        <f>(0.073+0.039)*T36</f>
        <v>20464.415999999997</v>
      </c>
      <c r="U41" s="129">
        <f>U36*(0.07+0.034)</f>
        <v>19076.096000000001</v>
      </c>
    </row>
    <row r="42" spans="2:23" x14ac:dyDescent="0.25">
      <c r="B42" s="29" t="s">
        <v>28</v>
      </c>
      <c r="K42" s="19">
        <v>0</v>
      </c>
      <c r="P42" s="19">
        <f>P36*0.055</f>
        <v>10261.152</v>
      </c>
      <c r="Q42" s="19">
        <f>Q36*0.056</f>
        <v>9786.6720000000005</v>
      </c>
      <c r="R42" s="19">
        <f>R36*0.048</f>
        <v>8425.9008000000013</v>
      </c>
      <c r="S42" s="19">
        <f>S36*0.045</f>
        <v>8333.2799999999988</v>
      </c>
      <c r="T42" s="19">
        <f>T36*0.045</f>
        <v>8222.31</v>
      </c>
      <c r="U42" s="17">
        <f>U36-SUM(U37:U41)</f>
        <v>13408.294400000013</v>
      </c>
    </row>
    <row r="43" spans="2:23" ht="15.75" thickBot="1" x14ac:dyDescent="0.3"/>
    <row r="44" spans="2:23" x14ac:dyDescent="0.25">
      <c r="B44" s="113" t="s">
        <v>64</v>
      </c>
      <c r="K44" s="113">
        <v>2008</v>
      </c>
      <c r="Q44" s="114">
        <v>2014</v>
      </c>
      <c r="R44" s="114">
        <v>2015</v>
      </c>
      <c r="S44" s="114">
        <v>2016</v>
      </c>
      <c r="T44" s="115">
        <v>2017</v>
      </c>
      <c r="U44" s="116">
        <v>2018</v>
      </c>
    </row>
    <row r="45" spans="2:23" x14ac:dyDescent="0.25">
      <c r="B45" s="29" t="s">
        <v>37</v>
      </c>
      <c r="K45" s="20">
        <f>K9+K20+K37</f>
        <v>16552.400000000001</v>
      </c>
      <c r="L45" s="111"/>
      <c r="M45" s="111"/>
      <c r="N45" s="111"/>
      <c r="O45" s="111"/>
      <c r="P45" s="111"/>
      <c r="Q45" s="20">
        <f t="shared" ref="Q45:U45" si="1">Q9+Q20+Q37</f>
        <v>16362.67</v>
      </c>
      <c r="R45" s="109">
        <f t="shared" si="1"/>
        <v>17122.9696</v>
      </c>
      <c r="S45" s="109">
        <f t="shared" si="1"/>
        <v>18749.936000000002</v>
      </c>
      <c r="T45" s="109">
        <f t="shared" si="1"/>
        <v>18822.402000000002</v>
      </c>
      <c r="U45" s="109">
        <f t="shared" si="1"/>
        <v>18891.448</v>
      </c>
      <c r="V45" s="117">
        <f t="shared" ref="V45:V52" si="2">U45/K45</f>
        <v>1.1413117131050481</v>
      </c>
      <c r="W45" s="37">
        <f t="shared" ref="W45:W52" si="3">U45-K45</f>
        <v>2339.0479999999989</v>
      </c>
    </row>
    <row r="46" spans="2:23" x14ac:dyDescent="0.25">
      <c r="B46" s="29" t="s">
        <v>65</v>
      </c>
      <c r="K46" s="20">
        <f>K7+K21+K31+K41</f>
        <v>25473.280000000002</v>
      </c>
      <c r="L46" s="111"/>
      <c r="M46" s="111"/>
      <c r="N46" s="111"/>
      <c r="O46" s="111"/>
      <c r="P46" s="111"/>
      <c r="Q46" s="20">
        <f t="shared" ref="Q46:U46" si="4">Q7+Q21+Q31+Q41</f>
        <v>27629.771999999997</v>
      </c>
      <c r="R46" s="109">
        <f t="shared" si="4"/>
        <v>27854.1816</v>
      </c>
      <c r="S46" s="109">
        <f t="shared" si="4"/>
        <v>27560.952999999998</v>
      </c>
      <c r="T46" s="109">
        <f t="shared" si="4"/>
        <v>27734.985999999997</v>
      </c>
      <c r="U46" s="109">
        <f t="shared" si="4"/>
        <v>26588.506000000001</v>
      </c>
      <c r="V46" s="117">
        <f t="shared" si="2"/>
        <v>1.0437802277523742</v>
      </c>
      <c r="W46" s="37">
        <f t="shared" si="3"/>
        <v>1115.2259999999987</v>
      </c>
    </row>
    <row r="47" spans="2:23" x14ac:dyDescent="0.25">
      <c r="B47" s="29" t="s">
        <v>33</v>
      </c>
      <c r="K47" s="20">
        <f>K38+K22+K5</f>
        <v>42911.44</v>
      </c>
      <c r="L47" s="111"/>
      <c r="M47" s="111"/>
      <c r="N47" s="111"/>
      <c r="O47" s="111"/>
      <c r="P47" s="111"/>
      <c r="Q47" s="20">
        <f t="shared" ref="Q47:U47" si="5">Q38+Q22+Q5</f>
        <v>61444.55</v>
      </c>
      <c r="R47" s="109">
        <f t="shared" si="5"/>
        <v>64884.002</v>
      </c>
      <c r="S47" s="109">
        <f t="shared" si="5"/>
        <v>67491.16</v>
      </c>
      <c r="T47" s="109">
        <f t="shared" si="5"/>
        <v>67831.149999999994</v>
      </c>
      <c r="U47" s="109">
        <f t="shared" si="5"/>
        <v>66578.423999999999</v>
      </c>
      <c r="V47" s="117">
        <f t="shared" si="2"/>
        <v>1.5515308738182638</v>
      </c>
      <c r="W47" s="37">
        <f>U47-K47</f>
        <v>23666.983999999997</v>
      </c>
    </row>
    <row r="48" spans="2:23" x14ac:dyDescent="0.25">
      <c r="B48" s="29" t="s">
        <v>230</v>
      </c>
      <c r="K48" s="20">
        <f>K23+K13</f>
        <v>2482.6</v>
      </c>
      <c r="L48" s="111"/>
      <c r="M48" s="111"/>
      <c r="N48" s="111"/>
      <c r="O48" s="111"/>
      <c r="P48" s="111"/>
      <c r="Q48" s="20">
        <f t="shared" ref="Q48:U48" si="6">Q23+Q13</f>
        <v>4597.3999999999996</v>
      </c>
      <c r="R48" s="109">
        <f t="shared" si="6"/>
        <v>5571.2</v>
      </c>
      <c r="S48" s="109">
        <f t="shared" si="6"/>
        <v>6857.8</v>
      </c>
      <c r="T48" s="109">
        <f t="shared" si="6"/>
        <v>7579.4000000000005</v>
      </c>
      <c r="U48" s="109">
        <f t="shared" si="6"/>
        <v>7937.2</v>
      </c>
      <c r="V48" s="117">
        <f t="shared" si="2"/>
        <v>3.1971320389913802</v>
      </c>
      <c r="W48" s="37">
        <f t="shared" si="3"/>
        <v>5454.6</v>
      </c>
    </row>
    <row r="49" spans="1:23" x14ac:dyDescent="0.25">
      <c r="B49" s="29" t="s">
        <v>26</v>
      </c>
      <c r="K49" s="20">
        <f>K30+K24</f>
        <v>22693</v>
      </c>
      <c r="L49" s="111"/>
      <c r="M49" s="111"/>
      <c r="N49" s="111"/>
      <c r="O49" s="111"/>
      <c r="P49" s="111"/>
      <c r="Q49" s="20">
        <f t="shared" ref="Q49:U49" si="7">Q30+Q24</f>
        <v>22526</v>
      </c>
      <c r="R49" s="109">
        <f t="shared" si="7"/>
        <v>24306</v>
      </c>
      <c r="S49" s="109">
        <f t="shared" si="7"/>
        <v>30305.4</v>
      </c>
      <c r="T49" s="109">
        <f t="shared" si="7"/>
        <v>30873.3</v>
      </c>
      <c r="U49" s="109">
        <f t="shared" si="7"/>
        <v>29183.451591928249</v>
      </c>
      <c r="V49" s="117">
        <f t="shared" si="2"/>
        <v>1.286011174896587</v>
      </c>
      <c r="W49" s="37">
        <f t="shared" si="3"/>
        <v>6490.4515919282494</v>
      </c>
    </row>
    <row r="50" spans="1:23" x14ac:dyDescent="0.25">
      <c r="B50" s="29" t="s">
        <v>34</v>
      </c>
      <c r="K50" s="20">
        <f>K39+K25+K15+K6</f>
        <v>171240.08</v>
      </c>
      <c r="L50" s="111"/>
      <c r="M50" s="111"/>
      <c r="N50" s="111"/>
      <c r="O50" s="111"/>
      <c r="P50" s="111"/>
      <c r="Q50" s="20">
        <f t="shared" ref="Q50:U50" si="8">Q39+Q25+Q15+Q6</f>
        <v>173439.326</v>
      </c>
      <c r="R50" s="109">
        <f t="shared" si="8"/>
        <v>180378.20920000001</v>
      </c>
      <c r="S50" s="109">
        <f t="shared" si="8"/>
        <v>192401.03200000001</v>
      </c>
      <c r="T50" s="109">
        <f t="shared" si="8"/>
        <v>203935.74400000001</v>
      </c>
      <c r="U50" s="109">
        <f t="shared" si="8"/>
        <v>199405.73599999998</v>
      </c>
      <c r="V50" s="117">
        <f t="shared" si="2"/>
        <v>1.1644805118054138</v>
      </c>
      <c r="W50" s="37">
        <f t="shared" si="3"/>
        <v>28165.655999999988</v>
      </c>
    </row>
    <row r="51" spans="1:23" x14ac:dyDescent="0.25">
      <c r="B51" s="29" t="s">
        <v>36</v>
      </c>
      <c r="K51" s="20">
        <f>K40+K32+K26+K14+K8</f>
        <v>192593.92000000001</v>
      </c>
      <c r="L51" s="111"/>
      <c r="M51" s="111"/>
      <c r="N51" s="111"/>
      <c r="O51" s="111"/>
      <c r="P51" s="111"/>
      <c r="Q51" s="20">
        <f t="shared" ref="Q51:U51" si="9">Q40+Q32+Q26+Q14+Q8</f>
        <v>146392.408</v>
      </c>
      <c r="R51" s="109">
        <f t="shared" si="9"/>
        <v>138547.9768</v>
      </c>
      <c r="S51" s="109">
        <f t="shared" si="9"/>
        <v>146885.09900000002</v>
      </c>
      <c r="T51" s="109">
        <f t="shared" si="9"/>
        <v>130978.32799999999</v>
      </c>
      <c r="U51" s="109">
        <f t="shared" si="9"/>
        <v>134783.47160000002</v>
      </c>
      <c r="V51" s="117">
        <f t="shared" si="2"/>
        <v>0.69983243292415465</v>
      </c>
      <c r="W51" s="37">
        <f t="shared" si="3"/>
        <v>-57810.448399999994</v>
      </c>
    </row>
    <row r="52" spans="1:23" x14ac:dyDescent="0.25">
      <c r="B52" s="38" t="s">
        <v>28</v>
      </c>
      <c r="K52" s="20">
        <f>K42+K16</f>
        <v>3650.4</v>
      </c>
      <c r="L52" s="111"/>
      <c r="M52" s="111"/>
      <c r="N52" s="111"/>
      <c r="O52" s="111"/>
      <c r="P52" s="111"/>
      <c r="Q52" s="20">
        <f t="shared" ref="Q52:U52" si="10">Q42+Q16</f>
        <v>15708.672</v>
      </c>
      <c r="R52" s="109">
        <f t="shared" si="10"/>
        <v>18120.700800000002</v>
      </c>
      <c r="S52" s="109">
        <f t="shared" si="10"/>
        <v>21131.279999999999</v>
      </c>
      <c r="T52" s="109">
        <f t="shared" si="10"/>
        <v>22546.71</v>
      </c>
      <c r="U52" s="109">
        <f t="shared" si="10"/>
        <v>27243.094400000016</v>
      </c>
      <c r="V52" s="117">
        <f t="shared" si="2"/>
        <v>7.4630436116590007</v>
      </c>
      <c r="W52" s="37">
        <f t="shared" si="3"/>
        <v>23592.694400000015</v>
      </c>
    </row>
    <row r="53" spans="1:23" x14ac:dyDescent="0.25">
      <c r="B53" t="s">
        <v>66</v>
      </c>
      <c r="K53" s="20">
        <f>SUM(K45:K52)</f>
        <v>477597.12</v>
      </c>
      <c r="L53" s="111"/>
      <c r="M53" s="30"/>
      <c r="N53" s="30"/>
      <c r="O53" s="30"/>
      <c r="P53" s="30"/>
      <c r="Q53" s="20">
        <f>SUM(Q45:Q52)</f>
        <v>468100.79800000001</v>
      </c>
      <c r="R53" s="20">
        <f>SUM(R45:R52)</f>
        <v>476785.24000000005</v>
      </c>
      <c r="S53" s="20">
        <f>SUM(S45:S52)</f>
        <v>511382.66000000003</v>
      </c>
      <c r="T53" s="20">
        <f>SUM(T45:T52)</f>
        <v>510302.01999999996</v>
      </c>
      <c r="U53" s="20">
        <f>SUM(U45:U52)</f>
        <v>510611.3315919282</v>
      </c>
      <c r="V53" s="117">
        <f>U53/K53</f>
        <v>1.0691256504895343</v>
      </c>
      <c r="W53" s="37"/>
    </row>
    <row r="54" spans="1:23" x14ac:dyDescent="0.25">
      <c r="Q54" s="35"/>
      <c r="R54" s="35"/>
      <c r="S54" s="35"/>
      <c r="T54" s="35"/>
      <c r="U54" s="35"/>
      <c r="W54" s="37"/>
    </row>
    <row r="57" spans="1:23" x14ac:dyDescent="0.25">
      <c r="B57" t="s">
        <v>64</v>
      </c>
      <c r="K57">
        <v>2008</v>
      </c>
      <c r="M57">
        <v>2014</v>
      </c>
      <c r="N57">
        <v>2015</v>
      </c>
      <c r="O57">
        <v>2016</v>
      </c>
      <c r="P57">
        <v>2017</v>
      </c>
      <c r="Q57">
        <v>2018</v>
      </c>
    </row>
    <row r="58" spans="1:23" x14ac:dyDescent="0.25">
      <c r="A58" s="30"/>
      <c r="B58" s="30" t="s">
        <v>37</v>
      </c>
      <c r="C58" s="30"/>
      <c r="D58" s="30"/>
      <c r="E58" s="30"/>
      <c r="F58" s="30"/>
      <c r="G58" s="30"/>
      <c r="H58" s="30"/>
      <c r="I58" s="30"/>
      <c r="J58" s="30"/>
      <c r="K58" s="30">
        <v>16552.400000000001</v>
      </c>
      <c r="L58" s="30"/>
      <c r="M58" s="30">
        <v>16362.67</v>
      </c>
      <c r="N58" s="30">
        <v>17122.9696</v>
      </c>
      <c r="O58" s="30">
        <v>18749.936000000002</v>
      </c>
      <c r="P58">
        <v>18822.402000000002</v>
      </c>
      <c r="Q58">
        <v>18891.448</v>
      </c>
      <c r="R58" s="132">
        <v>1.1371403542688674</v>
      </c>
      <c r="W58" s="13"/>
    </row>
    <row r="59" spans="1:23" x14ac:dyDescent="0.25">
      <c r="A59" s="30"/>
      <c r="B59" s="110" t="s">
        <v>65</v>
      </c>
      <c r="C59" s="110"/>
      <c r="D59" s="110"/>
      <c r="E59" s="110"/>
      <c r="F59" s="110"/>
      <c r="G59" s="110"/>
      <c r="H59" s="110"/>
      <c r="I59" s="110"/>
      <c r="J59" s="110"/>
      <c r="K59" s="110">
        <v>25473.280000000002</v>
      </c>
      <c r="L59" s="110"/>
      <c r="M59" s="110">
        <v>27629.771999999997</v>
      </c>
      <c r="N59" s="110">
        <v>27854.1816</v>
      </c>
      <c r="O59" s="30">
        <v>27560.952999999998</v>
      </c>
      <c r="P59">
        <v>27734.985999999997</v>
      </c>
      <c r="Q59">
        <v>26588.506000000001</v>
      </c>
      <c r="R59" s="132">
        <v>1.0887873881965728</v>
      </c>
      <c r="W59" s="13"/>
    </row>
    <row r="60" spans="1:23" x14ac:dyDescent="0.25">
      <c r="A60" s="30"/>
      <c r="B60" s="30" t="s">
        <v>33</v>
      </c>
      <c r="C60" s="124"/>
      <c r="D60" s="124"/>
      <c r="E60" s="124"/>
      <c r="F60" s="124"/>
      <c r="G60" s="124"/>
      <c r="H60" s="124"/>
      <c r="I60" s="124"/>
      <c r="J60" s="124"/>
      <c r="K60" s="124">
        <v>42911.44</v>
      </c>
      <c r="L60" s="124"/>
      <c r="M60" s="124">
        <v>61444.55</v>
      </c>
      <c r="N60" s="124">
        <v>64884.002</v>
      </c>
      <c r="O60" s="30">
        <v>67491.16</v>
      </c>
      <c r="P60">
        <v>67831.149999999994</v>
      </c>
      <c r="Q60">
        <v>66578.423999999999</v>
      </c>
      <c r="R60" s="132">
        <v>1.5807241612027001</v>
      </c>
      <c r="W60" s="110"/>
    </row>
    <row r="61" spans="1:23" x14ac:dyDescent="0.25">
      <c r="A61" s="30"/>
      <c r="B61" s="30" t="s">
        <v>230</v>
      </c>
      <c r="C61" s="27"/>
      <c r="D61" s="27"/>
      <c r="E61" s="27"/>
      <c r="F61" s="27"/>
      <c r="G61" s="27"/>
      <c r="H61" s="27"/>
      <c r="I61" s="27"/>
      <c r="J61" s="27"/>
      <c r="K61" s="27">
        <v>2482.6</v>
      </c>
      <c r="L61" s="27"/>
      <c r="M61" s="27">
        <v>4597.3999999999996</v>
      </c>
      <c r="N61" s="27">
        <v>5571.2</v>
      </c>
      <c r="O61" s="30">
        <v>6857.8</v>
      </c>
      <c r="P61">
        <v>7579.4000000000005</v>
      </c>
      <c r="Q61">
        <v>7937.2</v>
      </c>
      <c r="R61" s="132">
        <v>3.0530089422379767</v>
      </c>
      <c r="W61" s="110"/>
    </row>
    <row r="62" spans="1:23" x14ac:dyDescent="0.25">
      <c r="A62" s="30"/>
      <c r="B62" s="30" t="s">
        <v>26</v>
      </c>
      <c r="C62" s="27"/>
      <c r="D62" s="27"/>
      <c r="E62" s="27"/>
      <c r="F62" s="27"/>
      <c r="G62" s="27"/>
      <c r="H62" s="27"/>
      <c r="I62" s="27"/>
      <c r="J62" s="27"/>
      <c r="K62" s="27">
        <v>22693</v>
      </c>
      <c r="L62" s="27"/>
      <c r="M62" s="27">
        <v>22526</v>
      </c>
      <c r="N62" s="27">
        <v>24306</v>
      </c>
      <c r="O62" s="30">
        <v>30305.4</v>
      </c>
      <c r="P62">
        <v>30873.3</v>
      </c>
      <c r="Q62">
        <v>29183.451591928249</v>
      </c>
      <c r="R62" s="132">
        <v>1.3604767990129114</v>
      </c>
      <c r="W62" s="110"/>
    </row>
    <row r="63" spans="1:23" x14ac:dyDescent="0.25">
      <c r="A63" s="30"/>
      <c r="B63" s="30" t="s">
        <v>34</v>
      </c>
      <c r="C63" s="27"/>
      <c r="D63" s="27"/>
      <c r="E63" s="27"/>
      <c r="F63" s="27"/>
      <c r="G63" s="27"/>
      <c r="H63" s="27"/>
      <c r="I63" s="27"/>
      <c r="J63" s="27"/>
      <c r="K63" s="27">
        <v>171240.08</v>
      </c>
      <c r="L63" s="27"/>
      <c r="M63" s="27">
        <v>173439.326</v>
      </c>
      <c r="N63" s="27">
        <v>180378.20920000001</v>
      </c>
      <c r="O63" s="30">
        <v>192401.03200000001</v>
      </c>
      <c r="P63">
        <v>203935.74400000001</v>
      </c>
      <c r="Q63">
        <v>199405.73599999998</v>
      </c>
      <c r="R63" s="132">
        <v>1.1909346456740737</v>
      </c>
      <c r="W63" s="110"/>
    </row>
    <row r="64" spans="1:23" x14ac:dyDescent="0.25">
      <c r="A64" s="30"/>
      <c r="B64" s="30" t="s">
        <v>36</v>
      </c>
      <c r="C64" s="27"/>
      <c r="D64" s="27"/>
      <c r="E64" s="27"/>
      <c r="F64" s="27"/>
      <c r="G64" s="27"/>
      <c r="H64" s="27"/>
      <c r="I64" s="27"/>
      <c r="J64" s="27"/>
      <c r="K64" s="27">
        <v>192593.92000000001</v>
      </c>
      <c r="L64" s="27"/>
      <c r="M64" s="27">
        <v>146392.408</v>
      </c>
      <c r="N64" s="27">
        <v>138547.9768</v>
      </c>
      <c r="O64" s="30">
        <v>146885.09900000002</v>
      </c>
      <c r="P64">
        <v>130978.32799999999</v>
      </c>
      <c r="Q64">
        <v>134783.47160000002</v>
      </c>
      <c r="R64" s="132">
        <v>0.6800750927132071</v>
      </c>
      <c r="W64" s="13"/>
    </row>
    <row r="65" spans="1:19" x14ac:dyDescent="0.25">
      <c r="A65" s="30"/>
      <c r="B65" s="30" t="s">
        <v>28</v>
      </c>
      <c r="C65" s="27"/>
      <c r="D65" s="27"/>
      <c r="E65" s="27"/>
      <c r="F65" s="27"/>
      <c r="G65" s="27"/>
      <c r="H65" s="27"/>
      <c r="I65" s="27"/>
      <c r="J65" s="27"/>
      <c r="K65" s="27">
        <v>3650.4</v>
      </c>
      <c r="L65" s="27"/>
      <c r="M65" s="27">
        <v>15708.672</v>
      </c>
      <c r="N65" s="27">
        <v>18120.700800000002</v>
      </c>
      <c r="O65" s="30">
        <v>21131.279999999999</v>
      </c>
      <c r="P65">
        <v>22546.71</v>
      </c>
      <c r="Q65">
        <v>27243.094400000016</v>
      </c>
      <c r="R65" s="36">
        <v>6.1765039447731755</v>
      </c>
    </row>
    <row r="66" spans="1:19" x14ac:dyDescent="0.25">
      <c r="A66" s="30"/>
      <c r="B66" s="30" t="s">
        <v>66</v>
      </c>
      <c r="C66" s="27"/>
      <c r="D66" s="27"/>
      <c r="E66" s="27"/>
      <c r="F66" s="27"/>
      <c r="G66" s="27"/>
      <c r="H66" s="27"/>
      <c r="I66" s="27"/>
      <c r="J66" s="27"/>
      <c r="K66" s="27">
        <v>477597.12</v>
      </c>
      <c r="L66" s="27"/>
      <c r="M66" s="27">
        <v>468100.79800000001</v>
      </c>
      <c r="N66" s="27">
        <v>476785.24000000005</v>
      </c>
      <c r="O66" s="30">
        <v>511382.66000000003</v>
      </c>
      <c r="P66">
        <v>510302.01999999996</v>
      </c>
      <c r="Q66">
        <v>510611.3315919282</v>
      </c>
      <c r="R66" s="36">
        <v>1.0684780092476269</v>
      </c>
    </row>
    <row r="67" spans="1:19" x14ac:dyDescent="0.25">
      <c r="A67" s="30"/>
      <c r="B67" s="30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30"/>
    </row>
    <row r="68" spans="1:19" x14ac:dyDescent="0.25">
      <c r="A68" s="30"/>
      <c r="B68" s="30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30"/>
    </row>
    <row r="69" spans="1:19" x14ac:dyDescent="0.25">
      <c r="A69" s="30"/>
      <c r="B69" s="30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30"/>
    </row>
    <row r="70" spans="1:19" x14ac:dyDescent="0.25">
      <c r="A70" s="30"/>
      <c r="B70" s="30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30"/>
    </row>
    <row r="71" spans="1:19" x14ac:dyDescent="0.25">
      <c r="A71" s="30"/>
      <c r="B71" s="30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30"/>
    </row>
    <row r="72" spans="1:19" x14ac:dyDescent="0.25">
      <c r="A72" s="30"/>
      <c r="B72" s="30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30"/>
    </row>
    <row r="73" spans="1:19" x14ac:dyDescent="0.25">
      <c r="A73" s="30"/>
      <c r="B73" s="30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30"/>
    </row>
    <row r="74" spans="1:19" x14ac:dyDescent="0.25">
      <c r="A74" s="30"/>
      <c r="B74" s="30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30"/>
    </row>
    <row r="75" spans="1:19" x14ac:dyDescent="0.25">
      <c r="A75" s="30"/>
      <c r="B75" s="30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30"/>
    </row>
    <row r="76" spans="1:19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</row>
    <row r="77" spans="1:19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</row>
    <row r="92" spans="3:18" x14ac:dyDescent="0.25"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</row>
    <row r="94" spans="3:18" x14ac:dyDescent="0.25"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spans="3:18" x14ac:dyDescent="0.25"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3:18" x14ac:dyDescent="0.25"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7" spans="3:18" x14ac:dyDescent="0.25"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</row>
    <row r="98" spans="3:18" x14ac:dyDescent="0.25"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</row>
    <row r="99" spans="3:18" x14ac:dyDescent="0.25"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3:18" x14ac:dyDescent="0.25"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3:18" x14ac:dyDescent="0.25"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3:18" x14ac:dyDescent="0.25"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3:18" x14ac:dyDescent="0.25"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3:18" x14ac:dyDescent="0.25"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3:18" x14ac:dyDescent="0.25"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3:18" x14ac:dyDescent="0.25"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3:18" x14ac:dyDescent="0.25"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3:18" x14ac:dyDescent="0.25"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3:18" x14ac:dyDescent="0.25"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3:18" x14ac:dyDescent="0.25"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3:18" x14ac:dyDescent="0.25"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3:18" x14ac:dyDescent="0.25"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3:18" x14ac:dyDescent="0.25"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3:18" x14ac:dyDescent="0.25"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3:18" x14ac:dyDescent="0.25"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</sheetData>
  <phoneticPr fontId="17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1B285-EC13-4868-BE4B-2057C1334C37}">
  <dimension ref="B3:M39"/>
  <sheetViews>
    <sheetView workbookViewId="0">
      <selection activeCell="I43" sqref="I43"/>
    </sheetView>
  </sheetViews>
  <sheetFormatPr defaultRowHeight="15" x14ac:dyDescent="0.25"/>
  <cols>
    <col min="3" max="3" width="27.7109375" bestFit="1" customWidth="1"/>
    <col min="4" max="4" width="20" customWidth="1"/>
  </cols>
  <sheetData>
    <row r="3" spans="2:13" x14ac:dyDescent="0.25">
      <c r="C3" t="s">
        <v>68</v>
      </c>
      <c r="D3" t="s">
        <v>69</v>
      </c>
      <c r="E3" t="s">
        <v>70</v>
      </c>
    </row>
    <row r="4" spans="2:13" x14ac:dyDescent="0.25">
      <c r="B4" t="s">
        <v>59</v>
      </c>
      <c r="C4">
        <v>11.6</v>
      </c>
      <c r="D4">
        <v>99.49</v>
      </c>
      <c r="E4">
        <v>27457</v>
      </c>
    </row>
    <row r="5" spans="2:13" x14ac:dyDescent="0.25">
      <c r="B5" t="s">
        <v>38</v>
      </c>
      <c r="C5">
        <v>22.9</v>
      </c>
      <c r="D5">
        <v>279.31</v>
      </c>
      <c r="E5">
        <v>60160</v>
      </c>
    </row>
    <row r="6" spans="2:13" x14ac:dyDescent="0.25">
      <c r="B6" t="s">
        <v>31</v>
      </c>
      <c r="C6">
        <v>33.200000000000003</v>
      </c>
      <c r="D6">
        <v>438.86</v>
      </c>
      <c r="E6">
        <v>73123</v>
      </c>
    </row>
    <row r="7" spans="2:13" x14ac:dyDescent="0.25">
      <c r="B7" t="s">
        <v>71</v>
      </c>
      <c r="C7">
        <v>22</v>
      </c>
      <c r="D7">
        <v>351.03</v>
      </c>
      <c r="E7">
        <v>101256</v>
      </c>
    </row>
    <row r="8" spans="2:13" x14ac:dyDescent="0.25">
      <c r="B8" t="s">
        <v>61</v>
      </c>
    </row>
    <row r="12" spans="2:13" x14ac:dyDescent="0.25">
      <c r="D12">
        <v>2007</v>
      </c>
      <c r="E12">
        <v>2008</v>
      </c>
      <c r="F12">
        <v>2009</v>
      </c>
      <c r="G12">
        <v>2010</v>
      </c>
      <c r="H12">
        <v>2011</v>
      </c>
      <c r="I12">
        <v>2012</v>
      </c>
      <c r="J12">
        <v>2013</v>
      </c>
      <c r="K12">
        <v>2014</v>
      </c>
      <c r="L12">
        <v>2015</v>
      </c>
      <c r="M12">
        <v>2016</v>
      </c>
    </row>
    <row r="13" spans="2:13" x14ac:dyDescent="0.25">
      <c r="B13" t="s">
        <v>59</v>
      </c>
      <c r="C13" t="s">
        <v>72</v>
      </c>
      <c r="D13">
        <v>4414</v>
      </c>
      <c r="E13">
        <v>7969</v>
      </c>
      <c r="F13">
        <v>18540</v>
      </c>
      <c r="G13">
        <v>11240</v>
      </c>
      <c r="H13">
        <v>15513</v>
      </c>
      <c r="I13">
        <v>21635</v>
      </c>
      <c r="J13">
        <v>18813</v>
      </c>
      <c r="K13">
        <v>17631</v>
      </c>
      <c r="L13">
        <v>23334</v>
      </c>
      <c r="M13">
        <v>21396</v>
      </c>
    </row>
    <row r="14" spans="2:13" x14ac:dyDescent="0.25">
      <c r="C14" t="s">
        <v>73</v>
      </c>
      <c r="D14">
        <v>1895</v>
      </c>
      <c r="E14">
        <v>4151</v>
      </c>
      <c r="F14">
        <v>3475</v>
      </c>
      <c r="G14">
        <v>4137</v>
      </c>
      <c r="H14">
        <v>4172</v>
      </c>
      <c r="I14">
        <v>3191</v>
      </c>
      <c r="J14">
        <v>2681</v>
      </c>
      <c r="K14">
        <v>2242</v>
      </c>
      <c r="L14">
        <v>1892</v>
      </c>
      <c r="M14">
        <v>2248</v>
      </c>
    </row>
    <row r="15" spans="2:13" x14ac:dyDescent="0.25">
      <c r="C15" t="s">
        <v>74</v>
      </c>
      <c r="D15">
        <v>1246</v>
      </c>
      <c r="E15">
        <v>1292</v>
      </c>
      <c r="F15">
        <v>658</v>
      </c>
      <c r="G15">
        <v>1028</v>
      </c>
      <c r="H15">
        <v>966</v>
      </c>
      <c r="I15">
        <v>997</v>
      </c>
      <c r="J15">
        <v>2447</v>
      </c>
      <c r="K15">
        <v>300</v>
      </c>
      <c r="L15">
        <v>135</v>
      </c>
    </row>
    <row r="16" spans="2:13" x14ac:dyDescent="0.25">
      <c r="C16" t="s">
        <v>75</v>
      </c>
      <c r="D16">
        <v>567</v>
      </c>
      <c r="E16">
        <v>310</v>
      </c>
      <c r="F16">
        <v>273</v>
      </c>
      <c r="G16">
        <v>5430</v>
      </c>
      <c r="H16">
        <v>2386</v>
      </c>
      <c r="I16">
        <v>2457</v>
      </c>
      <c r="J16">
        <v>3899</v>
      </c>
      <c r="K16">
        <v>141</v>
      </c>
      <c r="L16">
        <v>101</v>
      </c>
      <c r="M16">
        <v>40</v>
      </c>
    </row>
    <row r="17" spans="2:13" x14ac:dyDescent="0.25">
      <c r="C17" t="s">
        <v>76</v>
      </c>
      <c r="D17">
        <v>401</v>
      </c>
      <c r="E17">
        <v>1377</v>
      </c>
      <c r="F17">
        <v>1123</v>
      </c>
      <c r="G17">
        <v>1325</v>
      </c>
      <c r="H17">
        <v>1597</v>
      </c>
      <c r="I17">
        <v>2113</v>
      </c>
      <c r="J17">
        <v>3429</v>
      </c>
      <c r="K17">
        <v>2757</v>
      </c>
      <c r="L17">
        <v>3097</v>
      </c>
      <c r="M17">
        <v>3773</v>
      </c>
    </row>
    <row r="18" spans="2:13" x14ac:dyDescent="0.25">
      <c r="C18" t="s">
        <v>32</v>
      </c>
      <c r="D18">
        <f>SUM(D13:D17)</f>
        <v>8523</v>
      </c>
      <c r="E18">
        <f t="shared" ref="E18:M18" si="0">SUM(E13:E17)</f>
        <v>15099</v>
      </c>
      <c r="F18">
        <f t="shared" si="0"/>
        <v>24069</v>
      </c>
      <c r="G18">
        <f t="shared" si="0"/>
        <v>23160</v>
      </c>
      <c r="H18">
        <f t="shared" si="0"/>
        <v>24634</v>
      </c>
      <c r="I18">
        <f t="shared" si="0"/>
        <v>30393</v>
      </c>
      <c r="J18">
        <f t="shared" si="0"/>
        <v>31269</v>
      </c>
      <c r="K18">
        <f t="shared" si="0"/>
        <v>23071</v>
      </c>
      <c r="L18">
        <f t="shared" si="0"/>
        <v>28559</v>
      </c>
      <c r="M18">
        <f t="shared" si="0"/>
        <v>27457</v>
      </c>
    </row>
    <row r="19" spans="2:13" x14ac:dyDescent="0.25">
      <c r="B19" t="s">
        <v>38</v>
      </c>
      <c r="C19" t="s">
        <v>72</v>
      </c>
      <c r="D19">
        <v>47250</v>
      </c>
      <c r="E19">
        <v>67300</v>
      </c>
      <c r="F19">
        <v>57977</v>
      </c>
      <c r="G19">
        <v>53821</v>
      </c>
      <c r="H19">
        <v>55286</v>
      </c>
      <c r="I19">
        <v>45136</v>
      </c>
      <c r="J19">
        <v>45718</v>
      </c>
      <c r="K19">
        <v>52822</v>
      </c>
      <c r="L19">
        <v>45027</v>
      </c>
      <c r="M19">
        <v>45742</v>
      </c>
    </row>
    <row r="20" spans="2:13" x14ac:dyDescent="0.25">
      <c r="C20" t="s">
        <v>73</v>
      </c>
      <c r="D20">
        <v>5300</v>
      </c>
      <c r="E20">
        <v>7506</v>
      </c>
      <c r="F20">
        <v>6137</v>
      </c>
      <c r="G20">
        <v>8091</v>
      </c>
      <c r="H20">
        <v>13941</v>
      </c>
      <c r="I20">
        <v>12953</v>
      </c>
      <c r="J20">
        <v>12341</v>
      </c>
      <c r="K20">
        <v>11125</v>
      </c>
      <c r="L20">
        <v>9210</v>
      </c>
      <c r="M20">
        <v>8488</v>
      </c>
    </row>
    <row r="21" spans="2:13" x14ac:dyDescent="0.25">
      <c r="C21" t="s">
        <v>74</v>
      </c>
      <c r="D21">
        <v>2500</v>
      </c>
      <c r="E21">
        <v>2500</v>
      </c>
      <c r="F21">
        <v>1819</v>
      </c>
      <c r="G21">
        <v>1988</v>
      </c>
      <c r="H21">
        <v>2048</v>
      </c>
      <c r="I21">
        <v>1912</v>
      </c>
      <c r="J21">
        <v>1874</v>
      </c>
      <c r="K21">
        <v>1767</v>
      </c>
      <c r="L21">
        <v>1784</v>
      </c>
      <c r="M21">
        <v>2221</v>
      </c>
    </row>
    <row r="22" spans="2:13" x14ac:dyDescent="0.25">
      <c r="C22" t="s">
        <v>75</v>
      </c>
    </row>
    <row r="23" spans="2:13" x14ac:dyDescent="0.25">
      <c r="C23" t="s">
        <v>76</v>
      </c>
      <c r="D23">
        <v>450</v>
      </c>
      <c r="E23">
        <v>2500</v>
      </c>
      <c r="F23">
        <v>1819</v>
      </c>
      <c r="G23">
        <v>1150</v>
      </c>
      <c r="H23">
        <v>992</v>
      </c>
      <c r="I23">
        <v>979</v>
      </c>
      <c r="J23">
        <v>1278</v>
      </c>
      <c r="K23">
        <v>1480</v>
      </c>
      <c r="L23">
        <v>2704</v>
      </c>
      <c r="M23">
        <v>3709</v>
      </c>
    </row>
    <row r="24" spans="2:13" x14ac:dyDescent="0.25">
      <c r="C24" t="s">
        <v>32</v>
      </c>
      <c r="D24">
        <f>SUM(D19:D23)</f>
        <v>55500</v>
      </c>
      <c r="E24">
        <f t="shared" ref="E24:M24" si="1">SUM(E19:E23)</f>
        <v>79806</v>
      </c>
      <c r="F24">
        <f t="shared" si="1"/>
        <v>67752</v>
      </c>
      <c r="G24">
        <f t="shared" si="1"/>
        <v>65050</v>
      </c>
      <c r="H24">
        <f t="shared" si="1"/>
        <v>72267</v>
      </c>
      <c r="I24">
        <f t="shared" si="1"/>
        <v>60980</v>
      </c>
      <c r="J24">
        <f t="shared" si="1"/>
        <v>61211</v>
      </c>
      <c r="K24">
        <f t="shared" si="1"/>
        <v>67194</v>
      </c>
      <c r="L24">
        <f t="shared" si="1"/>
        <v>58725</v>
      </c>
      <c r="M24">
        <f t="shared" si="1"/>
        <v>60160</v>
      </c>
    </row>
    <row r="25" spans="2:13" x14ac:dyDescent="0.25">
      <c r="B25" t="s">
        <v>31</v>
      </c>
      <c r="C25" t="s">
        <v>72</v>
      </c>
      <c r="D25">
        <v>64000</v>
      </c>
      <c r="E25">
        <v>76830</v>
      </c>
      <c r="F25">
        <v>75626</v>
      </c>
      <c r="G25">
        <v>87222</v>
      </c>
      <c r="H25">
        <v>76394</v>
      </c>
      <c r="I25">
        <v>61041</v>
      </c>
      <c r="J25">
        <v>56290</v>
      </c>
      <c r="K25">
        <v>51118</v>
      </c>
      <c r="L25">
        <v>58699</v>
      </c>
      <c r="M25">
        <v>65632</v>
      </c>
    </row>
    <row r="26" spans="2:13" x14ac:dyDescent="0.25">
      <c r="C26" t="s">
        <v>73</v>
      </c>
      <c r="D26">
        <v>2300</v>
      </c>
      <c r="E26">
        <v>3220</v>
      </c>
      <c r="F26">
        <v>3532</v>
      </c>
      <c r="G26">
        <v>2863</v>
      </c>
      <c r="H26">
        <v>3677</v>
      </c>
      <c r="I26">
        <v>3211</v>
      </c>
      <c r="J26">
        <v>2977</v>
      </c>
      <c r="K26">
        <v>2991</v>
      </c>
      <c r="L26">
        <v>2540</v>
      </c>
      <c r="M26">
        <v>2751</v>
      </c>
    </row>
    <row r="27" spans="2:13" x14ac:dyDescent="0.25">
      <c r="C27" t="s">
        <v>74</v>
      </c>
      <c r="D27">
        <v>800</v>
      </c>
      <c r="E27">
        <v>650</v>
      </c>
      <c r="F27">
        <v>724</v>
      </c>
      <c r="G27">
        <v>227</v>
      </c>
      <c r="H27">
        <v>473</v>
      </c>
      <c r="I27">
        <v>316</v>
      </c>
      <c r="J27">
        <v>496</v>
      </c>
      <c r="K27">
        <v>579</v>
      </c>
      <c r="L27">
        <v>1258</v>
      </c>
      <c r="M27">
        <v>1937</v>
      </c>
    </row>
    <row r="28" spans="2:13" x14ac:dyDescent="0.25">
      <c r="C28" t="s">
        <v>75</v>
      </c>
    </row>
    <row r="29" spans="2:13" x14ac:dyDescent="0.25">
      <c r="C29" t="s">
        <v>76</v>
      </c>
      <c r="D29">
        <v>3200</v>
      </c>
      <c r="E29">
        <v>3985</v>
      </c>
      <c r="F29">
        <v>4154</v>
      </c>
      <c r="G29">
        <v>3530</v>
      </c>
      <c r="H29">
        <v>2914</v>
      </c>
      <c r="I29">
        <v>2806</v>
      </c>
      <c r="J29">
        <v>2733</v>
      </c>
      <c r="K29">
        <v>2763</v>
      </c>
      <c r="L29">
        <v>2817</v>
      </c>
      <c r="M29">
        <v>2803</v>
      </c>
    </row>
    <row r="30" spans="2:13" x14ac:dyDescent="0.25">
      <c r="C30" t="s">
        <v>32</v>
      </c>
      <c r="D30">
        <f>SUM(D25:D29)</f>
        <v>70300</v>
      </c>
      <c r="E30">
        <f t="shared" ref="E30:M30" si="2">SUM(E25:E29)</f>
        <v>84685</v>
      </c>
      <c r="F30">
        <f t="shared" si="2"/>
        <v>84036</v>
      </c>
      <c r="G30">
        <f t="shared" si="2"/>
        <v>93842</v>
      </c>
      <c r="H30">
        <f t="shared" si="2"/>
        <v>83458</v>
      </c>
      <c r="I30">
        <f t="shared" si="2"/>
        <v>67374</v>
      </c>
      <c r="J30">
        <f t="shared" si="2"/>
        <v>62496</v>
      </c>
      <c r="K30">
        <f t="shared" si="2"/>
        <v>57451</v>
      </c>
      <c r="L30">
        <f t="shared" si="2"/>
        <v>65314</v>
      </c>
      <c r="M30">
        <f t="shared" si="2"/>
        <v>73123</v>
      </c>
    </row>
    <row r="31" spans="2:13" x14ac:dyDescent="0.25">
      <c r="B31" t="s">
        <v>63</v>
      </c>
      <c r="C31" t="s">
        <v>72</v>
      </c>
      <c r="D31">
        <v>35000</v>
      </c>
      <c r="E31">
        <v>75000</v>
      </c>
      <c r="F31">
        <v>60000</v>
      </c>
      <c r="G31">
        <v>70000</v>
      </c>
      <c r="H31">
        <v>55000</v>
      </c>
      <c r="I31">
        <v>55000</v>
      </c>
      <c r="J31">
        <v>55000</v>
      </c>
      <c r="K31">
        <v>55000</v>
      </c>
      <c r="L31">
        <v>55000</v>
      </c>
      <c r="M31">
        <v>55000</v>
      </c>
    </row>
    <row r="32" spans="2:13" x14ac:dyDescent="0.25">
      <c r="C32" t="s">
        <v>73</v>
      </c>
      <c r="D32">
        <v>27938</v>
      </c>
      <c r="E32">
        <v>25138</v>
      </c>
      <c r="F32">
        <v>27544</v>
      </c>
      <c r="G32">
        <v>31954</v>
      </c>
      <c r="H32">
        <v>31384</v>
      </c>
      <c r="I32">
        <v>24520</v>
      </c>
      <c r="J32">
        <v>24900</v>
      </c>
      <c r="K32">
        <v>23356</v>
      </c>
      <c r="L32">
        <v>26388</v>
      </c>
      <c r="M32">
        <v>22843</v>
      </c>
    </row>
    <row r="33" spans="2:13" x14ac:dyDescent="0.25">
      <c r="C33" t="s">
        <v>74</v>
      </c>
      <c r="D33">
        <v>17107</v>
      </c>
      <c r="E33">
        <v>16460</v>
      </c>
      <c r="F33">
        <v>13415</v>
      </c>
      <c r="G33">
        <v>12500</v>
      </c>
      <c r="H33">
        <v>11433</v>
      </c>
      <c r="I33">
        <v>9203</v>
      </c>
      <c r="J33">
        <v>10015</v>
      </c>
      <c r="K33">
        <v>10850</v>
      </c>
      <c r="L33">
        <v>13568</v>
      </c>
      <c r="M33">
        <v>15314</v>
      </c>
    </row>
    <row r="34" spans="2:13" x14ac:dyDescent="0.25">
      <c r="C34" t="s">
        <v>75</v>
      </c>
    </row>
    <row r="35" spans="2:13" x14ac:dyDescent="0.25">
      <c r="C35" t="s">
        <v>76</v>
      </c>
      <c r="D35">
        <v>13705</v>
      </c>
      <c r="E35">
        <v>16785</v>
      </c>
      <c r="F35">
        <v>15941</v>
      </c>
      <c r="G35">
        <v>13120</v>
      </c>
      <c r="H35">
        <v>8958</v>
      </c>
      <c r="I35">
        <v>6384</v>
      </c>
      <c r="J35">
        <v>6635</v>
      </c>
      <c r="K35">
        <v>6355</v>
      </c>
      <c r="L35">
        <v>8040</v>
      </c>
      <c r="M35">
        <v>8099</v>
      </c>
    </row>
    <row r="36" spans="2:13" x14ac:dyDescent="0.25">
      <c r="C36" t="s">
        <v>32</v>
      </c>
      <c r="D36">
        <f>SUM(D31:D35)</f>
        <v>93750</v>
      </c>
      <c r="E36">
        <f t="shared" ref="E36:M36" si="3">SUM(E31:E35)</f>
        <v>133383</v>
      </c>
      <c r="F36">
        <f t="shared" si="3"/>
        <v>116900</v>
      </c>
      <c r="G36">
        <f t="shared" si="3"/>
        <v>127574</v>
      </c>
      <c r="H36">
        <f t="shared" si="3"/>
        <v>106775</v>
      </c>
      <c r="I36">
        <f t="shared" si="3"/>
        <v>95107</v>
      </c>
      <c r="J36">
        <f t="shared" si="3"/>
        <v>96550</v>
      </c>
      <c r="K36">
        <f t="shared" si="3"/>
        <v>95561</v>
      </c>
      <c r="L36">
        <f t="shared" si="3"/>
        <v>102996</v>
      </c>
      <c r="M36">
        <f t="shared" si="3"/>
        <v>101256</v>
      </c>
    </row>
    <row r="39" spans="2:13" x14ac:dyDescent="0.25">
      <c r="B39" t="s">
        <v>77</v>
      </c>
      <c r="C39" t="s">
        <v>78</v>
      </c>
      <c r="D39">
        <f>SUM(D18,D24,D30,D36)</f>
        <v>228073</v>
      </c>
      <c r="E39">
        <f t="shared" ref="E39:M39" si="4">SUM(E18,E24,E30,E36)</f>
        <v>312973</v>
      </c>
      <c r="F39">
        <f t="shared" si="4"/>
        <v>292757</v>
      </c>
      <c r="G39">
        <f t="shared" si="4"/>
        <v>309626</v>
      </c>
      <c r="H39">
        <f t="shared" si="4"/>
        <v>287134</v>
      </c>
      <c r="I39">
        <f t="shared" si="4"/>
        <v>253854</v>
      </c>
      <c r="J39">
        <f t="shared" si="4"/>
        <v>251526</v>
      </c>
      <c r="K39">
        <f t="shared" si="4"/>
        <v>243277</v>
      </c>
      <c r="L39">
        <f t="shared" si="4"/>
        <v>255594</v>
      </c>
      <c r="M39">
        <f t="shared" si="4"/>
        <v>261996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2F95C-E903-4A87-8F8E-543D1A8C3253}">
  <dimension ref="A2:O426"/>
  <sheetViews>
    <sheetView tabSelected="1" zoomScaleNormal="100" workbookViewId="0">
      <selection activeCell="G23" sqref="G23"/>
    </sheetView>
  </sheetViews>
  <sheetFormatPr defaultColWidth="9.140625" defaultRowHeight="14.25" x14ac:dyDescent="0.2"/>
  <cols>
    <col min="1" max="1" width="12.28515625" style="40" customWidth="1"/>
    <col min="2" max="16384" width="9.140625" style="40"/>
  </cols>
  <sheetData>
    <row r="2" spans="1:15" ht="15" x14ac:dyDescent="0.25">
      <c r="A2" s="66" t="s">
        <v>154</v>
      </c>
    </row>
    <row r="3" spans="1:15" ht="15" x14ac:dyDescent="0.25">
      <c r="A3" s="66" t="s">
        <v>231</v>
      </c>
    </row>
    <row r="4" spans="1:15" x14ac:dyDescent="0.2">
      <c r="B4" s="40" t="str">
        <f>B49</f>
        <v>2007</v>
      </c>
      <c r="C4" s="40" t="str">
        <f t="shared" ref="C4:M4" si="0">C49</f>
        <v>2008</v>
      </c>
      <c r="D4" s="40" t="str">
        <f t="shared" si="0"/>
        <v>2009</v>
      </c>
      <c r="E4" s="40" t="str">
        <f t="shared" si="0"/>
        <v>2010</v>
      </c>
      <c r="F4" s="40" t="str">
        <f t="shared" si="0"/>
        <v>2011</v>
      </c>
      <c r="G4" s="40" t="str">
        <f t="shared" si="0"/>
        <v>2012</v>
      </c>
      <c r="H4" s="40" t="str">
        <f t="shared" si="0"/>
        <v>2013</v>
      </c>
      <c r="I4" s="40" t="str">
        <f t="shared" si="0"/>
        <v>2014</v>
      </c>
      <c r="J4" s="40" t="str">
        <f t="shared" si="0"/>
        <v>2015</v>
      </c>
      <c r="K4" s="40" t="str">
        <f t="shared" si="0"/>
        <v>2016</v>
      </c>
      <c r="L4" s="98" t="str">
        <f t="shared" si="0"/>
        <v>2017</v>
      </c>
      <c r="M4" s="98" t="str">
        <f t="shared" si="0"/>
        <v>2018</v>
      </c>
    </row>
    <row r="5" spans="1:15" x14ac:dyDescent="0.2">
      <c r="A5" s="41" t="s">
        <v>79</v>
      </c>
      <c r="B5" s="42">
        <f>SUM(B78:B82)</f>
        <v>472</v>
      </c>
      <c r="C5" s="42">
        <f t="shared" ref="C5:K5" si="1">SUM(C78:C82)</f>
        <v>327</v>
      </c>
      <c r="D5" s="42">
        <f t="shared" si="1"/>
        <v>322</v>
      </c>
      <c r="E5" s="42">
        <f t="shared" si="1"/>
        <v>358</v>
      </c>
      <c r="F5" s="42">
        <f t="shared" si="1"/>
        <v>255</v>
      </c>
      <c r="G5" s="42">
        <f t="shared" si="1"/>
        <v>256</v>
      </c>
      <c r="H5" s="42">
        <f t="shared" si="1"/>
        <v>218</v>
      </c>
      <c r="I5" s="42">
        <f t="shared" si="1"/>
        <v>185</v>
      </c>
      <c r="J5" s="42">
        <f t="shared" si="1"/>
        <v>151</v>
      </c>
      <c r="K5" s="42">
        <f t="shared" si="1"/>
        <v>189</v>
      </c>
      <c r="L5" s="99">
        <f>SUM('2017-2018 ENERGY BALANCE'!J31:J35)</f>
        <v>0</v>
      </c>
      <c r="M5" s="100">
        <f>SUM('2017-2018 ENERGY BALANCE'!J13:J17)</f>
        <v>0</v>
      </c>
    </row>
    <row r="6" spans="1:15" ht="15" x14ac:dyDescent="0.25">
      <c r="A6" s="41" t="s">
        <v>22</v>
      </c>
      <c r="B6" s="42">
        <f>SUM(B123:B127)</f>
        <v>63905</v>
      </c>
      <c r="C6" s="42">
        <f t="shared" ref="C6:K6" si="2">SUM(C123:C127)</f>
        <v>52368</v>
      </c>
      <c r="D6" s="42">
        <f t="shared" si="2"/>
        <v>50724</v>
      </c>
      <c r="E6" s="42">
        <f t="shared" si="2"/>
        <v>63889</v>
      </c>
      <c r="F6" s="42">
        <f t="shared" si="2"/>
        <v>51723</v>
      </c>
      <c r="G6" s="42">
        <f t="shared" si="2"/>
        <v>49484</v>
      </c>
      <c r="H6" s="42">
        <f t="shared" si="2"/>
        <v>46286</v>
      </c>
      <c r="I6" s="42">
        <f t="shared" si="2"/>
        <v>40101</v>
      </c>
      <c r="J6" s="42">
        <f t="shared" si="2"/>
        <v>38610</v>
      </c>
      <c r="K6" s="42">
        <f t="shared" si="2"/>
        <v>38248</v>
      </c>
      <c r="L6" s="99">
        <f>SUM('2017-2018 ENERGY BALANCE'!AD31:AD35)*1000</f>
        <v>35749.163086</v>
      </c>
      <c r="M6" s="99">
        <f>SUM('2017-2018 ENERGY BALANCE'!AD13:AD17)*1000</f>
        <v>33315.696240000005</v>
      </c>
      <c r="O6" s="43">
        <f t="shared" ref="O6:O11" si="3">K6/B6</f>
        <v>0.59851341835537131</v>
      </c>
    </row>
    <row r="7" spans="1:15" ht="15" x14ac:dyDescent="0.25">
      <c r="A7" s="41" t="s">
        <v>80</v>
      </c>
      <c r="B7" s="42">
        <f>SUM(B216:B220)</f>
        <v>30632</v>
      </c>
      <c r="C7" s="42">
        <f t="shared" ref="C7:K7" si="4">SUM(C216:C220)</f>
        <v>30463</v>
      </c>
      <c r="D7" s="42">
        <f t="shared" si="4"/>
        <v>31685</v>
      </c>
      <c r="E7" s="42">
        <f t="shared" si="4"/>
        <v>37016</v>
      </c>
      <c r="F7" s="42">
        <f t="shared" si="4"/>
        <v>31676</v>
      </c>
      <c r="G7" s="42">
        <f t="shared" si="4"/>
        <v>30787</v>
      </c>
      <c r="H7" s="42">
        <f t="shared" si="4"/>
        <v>30139</v>
      </c>
      <c r="I7" s="42">
        <f t="shared" si="4"/>
        <v>26404</v>
      </c>
      <c r="J7" s="42">
        <f t="shared" si="4"/>
        <v>27335</v>
      </c>
      <c r="K7" s="42">
        <f t="shared" si="4"/>
        <v>28689</v>
      </c>
      <c r="L7" s="99">
        <f>SUM('2017-2018 ENERGY BALANCE'!BA31:BA35)*1000</f>
        <v>28977.0471</v>
      </c>
      <c r="M7" s="99">
        <f>SUM('2017-2018 ENERGY BALANCE'!BA13:BA17)*1000</f>
        <v>28178.1198</v>
      </c>
      <c r="O7" s="43">
        <f t="shared" si="3"/>
        <v>0.93656960041786363</v>
      </c>
    </row>
    <row r="8" spans="1:15" ht="15" x14ac:dyDescent="0.25">
      <c r="A8" s="41" t="s">
        <v>67</v>
      </c>
      <c r="B8" s="42">
        <f>SUM(B317:B321)+SUM(B345:B349)+SUM(B361:B365)+SUM(B376:B380)+SUM(B391:B395)</f>
        <v>136168</v>
      </c>
      <c r="C8" s="42">
        <f t="shared" ref="C8:K8" si="5">SUM(C317:C321)+SUM(C345:C349)+SUM(C361:C365)+SUM(C376:C380)+SUM(C391:C395)</f>
        <v>143973</v>
      </c>
      <c r="D8" s="42">
        <f t="shared" si="5"/>
        <v>148750</v>
      </c>
      <c r="E8" s="42">
        <f t="shared" si="5"/>
        <v>161182</v>
      </c>
      <c r="F8" s="42">
        <f t="shared" si="5"/>
        <v>165381</v>
      </c>
      <c r="G8" s="42">
        <f t="shared" si="5"/>
        <v>170891</v>
      </c>
      <c r="H8" s="42">
        <f t="shared" si="5"/>
        <v>152591</v>
      </c>
      <c r="I8" s="42">
        <f t="shared" si="5"/>
        <v>146919</v>
      </c>
      <c r="J8" s="42">
        <f t="shared" si="5"/>
        <v>151145</v>
      </c>
      <c r="K8" s="42">
        <f t="shared" si="5"/>
        <v>158583</v>
      </c>
      <c r="L8" s="99">
        <f>SUM('2017-2018 ENERGY BALANCE'!BI31:BI35)*1000</f>
        <v>155643.94100000002</v>
      </c>
      <c r="M8" s="99">
        <f>SUM('2017-2018 ENERGY BALANCE'!BI13:BI17)*1000</f>
        <v>149209.51800000001</v>
      </c>
      <c r="O8" s="43">
        <f t="shared" si="3"/>
        <v>1.1646128312085071</v>
      </c>
    </row>
    <row r="9" spans="1:15" ht="15" x14ac:dyDescent="0.25">
      <c r="A9" s="41" t="s">
        <v>81</v>
      </c>
      <c r="B9" s="42">
        <f>SUM(B245:B249)</f>
        <v>242171</v>
      </c>
      <c r="C9" s="42">
        <f t="shared" ref="C9:K9" si="6">SUM(C245:C249)</f>
        <v>242160</v>
      </c>
      <c r="D9" s="42">
        <f t="shared" si="6"/>
        <v>253169</v>
      </c>
      <c r="E9" s="42">
        <f t="shared" si="6"/>
        <v>299997</v>
      </c>
      <c r="F9" s="42">
        <f t="shared" si="6"/>
        <v>249549</v>
      </c>
      <c r="G9" s="42">
        <f t="shared" si="6"/>
        <v>268929</v>
      </c>
      <c r="H9" s="42">
        <f t="shared" si="6"/>
        <v>263474</v>
      </c>
      <c r="I9" s="42">
        <f t="shared" si="6"/>
        <v>247564</v>
      </c>
      <c r="J9" s="42">
        <f t="shared" si="6"/>
        <v>252106</v>
      </c>
      <c r="K9" s="42">
        <f t="shared" si="6"/>
        <v>271083</v>
      </c>
      <c r="L9" s="99">
        <f>SUM('2017-2018 ENERGY BALANCE'!BY31:BY35)*1000</f>
        <v>267735.87100000004</v>
      </c>
      <c r="M9" s="99">
        <f>SUM('2017-2018 ENERGY BALANCE'!BY13:BY17)*1000</f>
        <v>266940.44900000002</v>
      </c>
      <c r="O9" s="43">
        <f t="shared" si="3"/>
        <v>1.1193867143464742</v>
      </c>
    </row>
    <row r="10" spans="1:15" ht="15" x14ac:dyDescent="0.25">
      <c r="A10" s="41" t="s">
        <v>27</v>
      </c>
      <c r="B10" s="42">
        <f>SUM(B422:B426)</f>
        <v>383126</v>
      </c>
      <c r="C10" s="42">
        <f t="shared" ref="C10:K10" si="7">SUM(C422:C426)</f>
        <v>379270</v>
      </c>
      <c r="D10" s="42">
        <f t="shared" si="7"/>
        <v>394500</v>
      </c>
      <c r="E10" s="42">
        <f t="shared" si="7"/>
        <v>431768</v>
      </c>
      <c r="F10" s="42">
        <f t="shared" si="7"/>
        <v>398912</v>
      </c>
      <c r="G10" s="42">
        <f t="shared" si="7"/>
        <v>415374</v>
      </c>
      <c r="H10" s="42">
        <f t="shared" si="7"/>
        <v>414222</v>
      </c>
      <c r="I10" s="42">
        <f t="shared" si="7"/>
        <v>397421</v>
      </c>
      <c r="J10" s="42">
        <f t="shared" si="7"/>
        <v>408607</v>
      </c>
      <c r="K10" s="42">
        <f t="shared" si="7"/>
        <v>420987</v>
      </c>
      <c r="L10" s="99">
        <f>SUM('2017-2018 ENERGY BALANCE'!BZ31:BZ35)*1000</f>
        <v>424867.04640000005</v>
      </c>
      <c r="M10" s="99">
        <f>SUM('2017-2018 ENERGY BALANCE'!BZ13:BZ17)*1000</f>
        <v>427388.73480000009</v>
      </c>
      <c r="O10" s="43">
        <f t="shared" si="3"/>
        <v>1.0988212755072744</v>
      </c>
    </row>
    <row r="11" spans="1:15" ht="15" x14ac:dyDescent="0.25">
      <c r="A11" s="41" t="s">
        <v>26</v>
      </c>
      <c r="B11" s="42">
        <f>B410</f>
        <v>1092</v>
      </c>
      <c r="C11" s="42">
        <f t="shared" ref="C11:K11" si="8">C410</f>
        <v>1147</v>
      </c>
      <c r="D11" s="42">
        <f t="shared" si="8"/>
        <v>1145</v>
      </c>
      <c r="E11" s="42">
        <f t="shared" si="8"/>
        <v>1145</v>
      </c>
      <c r="F11" s="42">
        <f t="shared" si="8"/>
        <v>1145</v>
      </c>
      <c r="G11" s="42">
        <f t="shared" si="8"/>
        <v>1145</v>
      </c>
      <c r="H11" s="42">
        <f t="shared" si="8"/>
        <v>553</v>
      </c>
      <c r="I11" s="42">
        <f t="shared" si="8"/>
        <v>527</v>
      </c>
      <c r="J11" s="42">
        <f t="shared" si="8"/>
        <v>527</v>
      </c>
      <c r="K11" s="42">
        <f t="shared" si="8"/>
        <v>527</v>
      </c>
      <c r="L11" s="100">
        <f>SUM('2017-2018 ENERGY BALANCE'!BH31:BH35)*1000</f>
        <v>505</v>
      </c>
      <c r="M11" s="100">
        <f>SUM('2017-2018 ENERGY BALANCE'!BH13:BH17)*1000</f>
        <v>505</v>
      </c>
      <c r="O11" s="43">
        <f t="shared" si="3"/>
        <v>0.48260073260073261</v>
      </c>
    </row>
    <row r="12" spans="1:15" ht="15" x14ac:dyDescent="0.25">
      <c r="A12" s="97" t="s">
        <v>228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87"/>
      <c r="M12" s="87"/>
      <c r="O12" s="43"/>
    </row>
    <row r="13" spans="1:15" ht="15" x14ac:dyDescent="0.25">
      <c r="B13" s="42">
        <f>SUM(B5:B10)</f>
        <v>856474</v>
      </c>
      <c r="C13" s="42">
        <f t="shared" ref="C13:M13" si="9">SUM(C5:C10)</f>
        <v>848561</v>
      </c>
      <c r="D13" s="42">
        <f t="shared" si="9"/>
        <v>879150</v>
      </c>
      <c r="E13" s="42">
        <f t="shared" si="9"/>
        <v>994210</v>
      </c>
      <c r="F13" s="42">
        <f t="shared" si="9"/>
        <v>897496</v>
      </c>
      <c r="G13" s="42">
        <f t="shared" si="9"/>
        <v>935721</v>
      </c>
      <c r="H13" s="42">
        <f t="shared" si="9"/>
        <v>906930</v>
      </c>
      <c r="I13" s="42">
        <f t="shared" si="9"/>
        <v>858594</v>
      </c>
      <c r="J13" s="42">
        <f t="shared" si="9"/>
        <v>877954</v>
      </c>
      <c r="K13" s="42">
        <f t="shared" si="9"/>
        <v>917779</v>
      </c>
      <c r="L13" s="42">
        <f t="shared" si="9"/>
        <v>912973.06858600012</v>
      </c>
      <c r="M13" s="42">
        <f t="shared" si="9"/>
        <v>905032.5178400001</v>
      </c>
      <c r="O13" s="43">
        <f>K13/B13</f>
        <v>1.0715783549763331</v>
      </c>
    </row>
    <row r="16" spans="1:15" x14ac:dyDescent="0.2">
      <c r="M16" s="87"/>
    </row>
    <row r="24" ht="14.45" customHeight="1" x14ac:dyDescent="0.2"/>
    <row r="35" spans="1:2" x14ac:dyDescent="0.2">
      <c r="A35" s="44" t="s">
        <v>82</v>
      </c>
    </row>
    <row r="37" spans="1:2" x14ac:dyDescent="0.2">
      <c r="A37" s="44" t="s">
        <v>83</v>
      </c>
      <c r="B37" s="45">
        <v>43585.587268518517</v>
      </c>
    </row>
    <row r="38" spans="1:2" x14ac:dyDescent="0.2">
      <c r="A38" s="44" t="s">
        <v>84</v>
      </c>
      <c r="B38" s="45">
        <v>43620.65672684028</v>
      </c>
    </row>
    <row r="39" spans="1:2" x14ac:dyDescent="0.2">
      <c r="A39" s="44" t="s">
        <v>85</v>
      </c>
      <c r="B39" s="44" t="s">
        <v>86</v>
      </c>
    </row>
    <row r="42" spans="1:2" x14ac:dyDescent="0.2">
      <c r="A42" s="44" t="s">
        <v>87</v>
      </c>
    </row>
    <row r="43" spans="1:2" x14ac:dyDescent="0.2">
      <c r="A43" s="44" t="s">
        <v>88</v>
      </c>
      <c r="B43" s="44" t="s">
        <v>89</v>
      </c>
    </row>
    <row r="45" spans="1:2" x14ac:dyDescent="0.2">
      <c r="A45" s="44" t="s">
        <v>90</v>
      </c>
      <c r="B45" s="44" t="s">
        <v>91</v>
      </c>
    </row>
    <row r="46" spans="1:2" x14ac:dyDescent="0.2">
      <c r="A46" s="44" t="s">
        <v>92</v>
      </c>
      <c r="B46" s="44" t="s">
        <v>93</v>
      </c>
    </row>
    <row r="47" spans="1:2" x14ac:dyDescent="0.2">
      <c r="A47" s="44" t="s">
        <v>94</v>
      </c>
      <c r="B47" s="44" t="s">
        <v>95</v>
      </c>
    </row>
    <row r="49" spans="1:13" x14ac:dyDescent="0.2">
      <c r="A49" s="46" t="s">
        <v>96</v>
      </c>
      <c r="B49" s="46" t="s">
        <v>46</v>
      </c>
      <c r="C49" s="46" t="s">
        <v>47</v>
      </c>
      <c r="D49" s="46" t="s">
        <v>52</v>
      </c>
      <c r="E49" s="46" t="s">
        <v>53</v>
      </c>
      <c r="F49" s="46" t="s">
        <v>54</v>
      </c>
      <c r="G49" s="46" t="s">
        <v>55</v>
      </c>
      <c r="H49" s="46" t="s">
        <v>56</v>
      </c>
      <c r="I49" s="46" t="s">
        <v>48</v>
      </c>
      <c r="J49" s="46" t="s">
        <v>49</v>
      </c>
      <c r="K49" s="46" t="s">
        <v>50</v>
      </c>
      <c r="L49" s="46" t="s">
        <v>51</v>
      </c>
      <c r="M49" s="46" t="s">
        <v>151</v>
      </c>
    </row>
    <row r="50" spans="1:13" x14ac:dyDescent="0.2">
      <c r="A50" s="46" t="s">
        <v>59</v>
      </c>
      <c r="B50" s="47">
        <v>859461</v>
      </c>
      <c r="C50" s="47">
        <v>826189</v>
      </c>
      <c r="D50" s="47">
        <v>791726</v>
      </c>
      <c r="E50" s="47">
        <v>839207</v>
      </c>
      <c r="F50" s="47">
        <v>778869</v>
      </c>
      <c r="G50" s="47">
        <v>752440</v>
      </c>
      <c r="H50" s="47">
        <v>747194</v>
      </c>
      <c r="I50" s="47">
        <v>705898</v>
      </c>
      <c r="J50" s="47">
        <v>705607</v>
      </c>
      <c r="K50" s="47">
        <v>729406</v>
      </c>
    </row>
    <row r="51" spans="1:13" x14ac:dyDescent="0.2">
      <c r="A51" s="46" t="s">
        <v>38</v>
      </c>
      <c r="B51" s="47">
        <v>1561546</v>
      </c>
      <c r="C51" s="47">
        <v>1506322</v>
      </c>
      <c r="D51" s="47">
        <v>1419987</v>
      </c>
      <c r="E51" s="47">
        <v>1553496</v>
      </c>
      <c r="F51" s="47">
        <v>1499724</v>
      </c>
      <c r="G51" s="47">
        <v>1452119</v>
      </c>
      <c r="H51" s="47">
        <v>1429643</v>
      </c>
      <c r="I51" s="47">
        <v>1456543</v>
      </c>
      <c r="J51" s="47">
        <v>1393308</v>
      </c>
      <c r="K51" s="47">
        <v>1449481</v>
      </c>
    </row>
    <row r="52" spans="1:13" x14ac:dyDescent="0.2">
      <c r="A52" s="46" t="s">
        <v>63</v>
      </c>
      <c r="B52" s="47">
        <v>2070864</v>
      </c>
      <c r="C52" s="47">
        <v>2063649</v>
      </c>
      <c r="D52" s="47">
        <v>1903649</v>
      </c>
      <c r="E52" s="47">
        <v>2126391</v>
      </c>
      <c r="F52" s="47">
        <v>2080836</v>
      </c>
      <c r="G52" s="47">
        <v>2083381</v>
      </c>
      <c r="H52" s="47">
        <v>2058267</v>
      </c>
      <c r="I52" s="47">
        <v>2018503</v>
      </c>
      <c r="J52" s="47">
        <v>1907530</v>
      </c>
      <c r="K52" s="47">
        <v>2061212</v>
      </c>
    </row>
    <row r="53" spans="1:13" x14ac:dyDescent="0.2">
      <c r="A53" s="46" t="s">
        <v>61</v>
      </c>
      <c r="B53" s="47">
        <v>205614</v>
      </c>
      <c r="C53" s="47">
        <v>236728</v>
      </c>
      <c r="D53" s="47">
        <v>244177</v>
      </c>
      <c r="E53" s="47">
        <v>232167</v>
      </c>
      <c r="F53" s="47">
        <v>248625</v>
      </c>
      <c r="G53" s="47">
        <v>243093</v>
      </c>
      <c r="H53" s="47">
        <v>253587</v>
      </c>
      <c r="I53" s="47">
        <v>253613</v>
      </c>
      <c r="J53" s="47">
        <v>243392</v>
      </c>
      <c r="K53" s="47">
        <v>233416</v>
      </c>
    </row>
    <row r="54" spans="1:13" x14ac:dyDescent="0.2">
      <c r="A54" s="46" t="s">
        <v>31</v>
      </c>
      <c r="B54" s="47">
        <v>1171388</v>
      </c>
      <c r="C54" s="47">
        <v>1364179</v>
      </c>
      <c r="D54" s="47">
        <v>1325876</v>
      </c>
      <c r="E54" s="47">
        <v>1251313</v>
      </c>
      <c r="F54" s="47">
        <v>1126687</v>
      </c>
      <c r="G54" s="47">
        <v>1175862</v>
      </c>
      <c r="H54" s="47">
        <v>1223974</v>
      </c>
      <c r="I54" s="47">
        <v>1216695</v>
      </c>
      <c r="J54" s="47">
        <v>1217584</v>
      </c>
      <c r="K54" s="47">
        <v>1164368</v>
      </c>
    </row>
    <row r="56" spans="1:13" x14ac:dyDescent="0.2">
      <c r="A56" s="44" t="s">
        <v>87</v>
      </c>
    </row>
    <row r="57" spans="1:13" x14ac:dyDescent="0.2">
      <c r="A57" s="44" t="s">
        <v>88</v>
      </c>
      <c r="B57" s="44" t="s">
        <v>89</v>
      </c>
    </row>
    <row r="59" spans="1:13" x14ac:dyDescent="0.2">
      <c r="A59" s="44" t="s">
        <v>90</v>
      </c>
      <c r="B59" s="44" t="s">
        <v>91</v>
      </c>
    </row>
    <row r="60" spans="1:13" x14ac:dyDescent="0.2">
      <c r="A60" s="44" t="s">
        <v>92</v>
      </c>
      <c r="B60" s="44" t="s">
        <v>93</v>
      </c>
    </row>
    <row r="61" spans="1:13" x14ac:dyDescent="0.2">
      <c r="A61" s="44" t="s">
        <v>94</v>
      </c>
      <c r="B61" s="44" t="s">
        <v>97</v>
      </c>
    </row>
    <row r="63" spans="1:13" x14ac:dyDescent="0.2">
      <c r="A63" s="46" t="s">
        <v>96</v>
      </c>
      <c r="B63" s="46" t="s">
        <v>46</v>
      </c>
      <c r="C63" s="46" t="s">
        <v>47</v>
      </c>
      <c r="D63" s="46" t="s">
        <v>52</v>
      </c>
      <c r="E63" s="46" t="s">
        <v>53</v>
      </c>
      <c r="F63" s="46" t="s">
        <v>54</v>
      </c>
      <c r="G63" s="46" t="s">
        <v>55</v>
      </c>
      <c r="H63" s="46" t="s">
        <v>56</v>
      </c>
      <c r="I63" s="46" t="s">
        <v>48</v>
      </c>
      <c r="J63" s="46" t="s">
        <v>49</v>
      </c>
      <c r="K63" s="46" t="s">
        <v>50</v>
      </c>
      <c r="L63" s="46" t="s">
        <v>51</v>
      </c>
      <c r="M63" s="46" t="s">
        <v>151</v>
      </c>
    </row>
    <row r="64" spans="1:13" x14ac:dyDescent="0.2">
      <c r="A64" s="46" t="s">
        <v>59</v>
      </c>
      <c r="B64" s="47">
        <v>186143</v>
      </c>
      <c r="C64" s="47">
        <v>185220</v>
      </c>
      <c r="D64" s="47">
        <v>185328</v>
      </c>
      <c r="E64" s="47">
        <v>205760</v>
      </c>
      <c r="F64" s="47">
        <v>184180</v>
      </c>
      <c r="G64" s="47">
        <v>181714</v>
      </c>
      <c r="H64" s="47">
        <v>183033</v>
      </c>
      <c r="I64" s="47">
        <v>168650</v>
      </c>
      <c r="J64" s="47">
        <v>179924</v>
      </c>
      <c r="K64" s="47">
        <v>186866</v>
      </c>
      <c r="L64" s="42">
        <f>'2017-2018 ENERGY BALANCE'!I31*1000</f>
        <v>192228.18480000002</v>
      </c>
      <c r="M64" s="42">
        <f>'2017-2018 ENERGY BALANCE'!I13*1000</f>
        <v>193422.29789999998</v>
      </c>
    </row>
    <row r="65" spans="1:13" x14ac:dyDescent="0.2">
      <c r="A65" s="46" t="s">
        <v>38</v>
      </c>
      <c r="B65" s="47">
        <v>214513</v>
      </c>
      <c r="C65" s="47">
        <v>211039</v>
      </c>
      <c r="D65" s="47">
        <v>221869</v>
      </c>
      <c r="E65" s="47">
        <v>243422</v>
      </c>
      <c r="F65" s="47">
        <v>212761</v>
      </c>
      <c r="G65" s="47">
        <v>227437</v>
      </c>
      <c r="H65" s="47">
        <v>214144</v>
      </c>
      <c r="I65" s="47">
        <v>212282</v>
      </c>
      <c r="J65" s="47">
        <v>205070</v>
      </c>
      <c r="K65" s="47">
        <v>221552</v>
      </c>
      <c r="L65" s="42">
        <f>'2017-2018 ENERGY BALANCE'!I32*1000</f>
        <v>241233.38200000001</v>
      </c>
      <c r="M65" s="42">
        <f>'2017-2018 ENERGY BALANCE'!I14*1000</f>
        <v>238275.27700000003</v>
      </c>
    </row>
    <row r="66" spans="1:13" x14ac:dyDescent="0.2">
      <c r="A66" s="46" t="s">
        <v>63</v>
      </c>
      <c r="B66" s="47">
        <v>281817</v>
      </c>
      <c r="C66" s="47">
        <v>277922</v>
      </c>
      <c r="D66" s="47">
        <v>290978</v>
      </c>
      <c r="E66" s="47">
        <v>336413</v>
      </c>
      <c r="F66" s="47">
        <v>312568</v>
      </c>
      <c r="G66" s="47">
        <v>327761</v>
      </c>
      <c r="H66" s="47">
        <v>313144</v>
      </c>
      <c r="I66" s="47">
        <v>293829</v>
      </c>
      <c r="J66" s="47">
        <v>301332</v>
      </c>
      <c r="K66" s="47">
        <v>312419</v>
      </c>
      <c r="L66" s="42">
        <f>'2017-2018 ENERGY BALANCE'!I33*1000</f>
        <v>322763.895051</v>
      </c>
      <c r="M66" s="42">
        <f>'2017-2018 ENERGY BALANCE'!I15*1000</f>
        <v>313719.38737800001</v>
      </c>
    </row>
    <row r="67" spans="1:13" x14ac:dyDescent="0.2">
      <c r="A67" s="46" t="s">
        <v>61</v>
      </c>
      <c r="B67" s="47">
        <v>15069</v>
      </c>
      <c r="C67" s="47">
        <v>15696</v>
      </c>
      <c r="D67" s="47">
        <v>15703</v>
      </c>
      <c r="E67" s="47">
        <v>15808</v>
      </c>
      <c r="F67" s="47">
        <v>15525</v>
      </c>
      <c r="G67" s="47">
        <v>16768</v>
      </c>
      <c r="H67" s="47">
        <v>16712</v>
      </c>
      <c r="I67" s="47">
        <v>16110</v>
      </c>
      <c r="J67" s="47">
        <v>16432</v>
      </c>
      <c r="K67" s="47">
        <v>19868</v>
      </c>
      <c r="L67" s="42">
        <f>'2017-2018 ENERGY BALANCE'!I34*1000</f>
        <v>17690.495199999998</v>
      </c>
      <c r="M67" s="42">
        <f>'2017-2018 ENERGY BALANCE'!I16*1000</f>
        <v>21157.879199999999</v>
      </c>
    </row>
    <row r="68" spans="1:13" x14ac:dyDescent="0.2">
      <c r="A68" s="46" t="s">
        <v>31</v>
      </c>
      <c r="B68" s="47">
        <v>160766</v>
      </c>
      <c r="C68" s="47">
        <v>160645</v>
      </c>
      <c r="D68" s="47">
        <v>167280</v>
      </c>
      <c r="E68" s="47">
        <v>194862</v>
      </c>
      <c r="F68" s="47">
        <v>174550</v>
      </c>
      <c r="G68" s="47">
        <v>184151</v>
      </c>
      <c r="H68" s="47">
        <v>181440</v>
      </c>
      <c r="I68" s="47">
        <v>169256</v>
      </c>
      <c r="J68" s="47">
        <v>176750</v>
      </c>
      <c r="K68" s="47">
        <v>178639</v>
      </c>
      <c r="L68" s="42">
        <f>'2017-2018 ENERGY BALANCE'!I35*1000</f>
        <v>190994.5</v>
      </c>
      <c r="M68" s="42">
        <f>'2017-2018 ENERGY BALANCE'!I17*1000</f>
        <v>192941.32190000001</v>
      </c>
    </row>
    <row r="70" spans="1:13" x14ac:dyDescent="0.2">
      <c r="A70" s="44" t="s">
        <v>87</v>
      </c>
    </row>
    <row r="71" spans="1:13" x14ac:dyDescent="0.2">
      <c r="A71" s="44" t="s">
        <v>88</v>
      </c>
      <c r="B71" s="44" t="s">
        <v>89</v>
      </c>
    </row>
    <row r="73" spans="1:13" x14ac:dyDescent="0.2">
      <c r="A73" s="44" t="s">
        <v>90</v>
      </c>
      <c r="B73" s="44" t="s">
        <v>91</v>
      </c>
    </row>
    <row r="74" spans="1:13" x14ac:dyDescent="0.2">
      <c r="A74" s="44" t="s">
        <v>92</v>
      </c>
      <c r="B74" s="44" t="s">
        <v>98</v>
      </c>
    </row>
    <row r="75" spans="1:13" x14ac:dyDescent="0.2">
      <c r="A75" s="44" t="s">
        <v>94</v>
      </c>
      <c r="B75" s="44" t="s">
        <v>97</v>
      </c>
    </row>
    <row r="77" spans="1:13" x14ac:dyDescent="0.2">
      <c r="A77" s="46" t="s">
        <v>96</v>
      </c>
      <c r="B77" s="46" t="s">
        <v>46</v>
      </c>
      <c r="C77" s="46" t="s">
        <v>47</v>
      </c>
      <c r="D77" s="46" t="s">
        <v>52</v>
      </c>
      <c r="E77" s="46" t="s">
        <v>53</v>
      </c>
      <c r="F77" s="46" t="s">
        <v>54</v>
      </c>
      <c r="G77" s="46" t="s">
        <v>55</v>
      </c>
      <c r="H77" s="46" t="s">
        <v>56</v>
      </c>
      <c r="I77" s="46" t="s">
        <v>48</v>
      </c>
      <c r="J77" s="46" t="s">
        <v>49</v>
      </c>
      <c r="K77" s="46" t="s">
        <v>50</v>
      </c>
      <c r="L77" s="46" t="s">
        <v>51</v>
      </c>
      <c r="M77" s="46" t="s">
        <v>151</v>
      </c>
    </row>
    <row r="78" spans="1:13" x14ac:dyDescent="0.2">
      <c r="A78" s="46" t="s">
        <v>59</v>
      </c>
      <c r="B78" s="47">
        <v>0</v>
      </c>
      <c r="C78" s="47">
        <v>20</v>
      </c>
      <c r="D78" s="47">
        <v>20</v>
      </c>
      <c r="E78" s="47">
        <v>20</v>
      </c>
      <c r="F78" s="47">
        <v>20</v>
      </c>
      <c r="G78" s="47">
        <v>20</v>
      </c>
      <c r="H78" s="47">
        <v>20</v>
      </c>
      <c r="I78" s="47">
        <v>0</v>
      </c>
      <c r="J78" s="47">
        <v>0</v>
      </c>
      <c r="K78" s="47">
        <v>0</v>
      </c>
      <c r="L78" s="42">
        <f>'2017-2018 ENERGY BALANCE'!J31*1000</f>
        <v>0</v>
      </c>
      <c r="M78" s="87">
        <f>'2017-2018 ENERGY BALANCE'!J13*1000</f>
        <v>0</v>
      </c>
    </row>
    <row r="79" spans="1:13" x14ac:dyDescent="0.2">
      <c r="A79" s="46" t="s">
        <v>38</v>
      </c>
      <c r="B79" s="47">
        <v>472</v>
      </c>
      <c r="C79" s="47">
        <v>307</v>
      </c>
      <c r="D79" s="47">
        <v>302</v>
      </c>
      <c r="E79" s="47">
        <v>338</v>
      </c>
      <c r="F79" s="47">
        <v>235</v>
      </c>
      <c r="G79" s="47">
        <v>236</v>
      </c>
      <c r="H79" s="47">
        <v>198</v>
      </c>
      <c r="I79" s="47">
        <v>185</v>
      </c>
      <c r="J79" s="47">
        <v>151</v>
      </c>
      <c r="K79" s="47">
        <v>189</v>
      </c>
      <c r="L79" s="42">
        <f>'2017-2018 ENERGY BALANCE'!J32*1000</f>
        <v>0</v>
      </c>
      <c r="M79" s="87">
        <f>'2017-2018 ENERGY BALANCE'!J14*1000</f>
        <v>0</v>
      </c>
    </row>
    <row r="80" spans="1:13" x14ac:dyDescent="0.2">
      <c r="A80" s="46" t="s">
        <v>63</v>
      </c>
      <c r="B80" s="47">
        <v>0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v>0</v>
      </c>
      <c r="L80" s="42">
        <f>'2017-2018 ENERGY BALANCE'!J33*1000</f>
        <v>0</v>
      </c>
      <c r="M80" s="87">
        <f>'2017-2018 ENERGY BALANCE'!J15*1000</f>
        <v>0</v>
      </c>
    </row>
    <row r="81" spans="1:13" x14ac:dyDescent="0.2">
      <c r="A81" s="46" t="s">
        <v>61</v>
      </c>
      <c r="B81" s="47">
        <v>0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7">
        <v>0</v>
      </c>
      <c r="L81" s="42">
        <f>'2017-2018 ENERGY BALANCE'!J34*1000</f>
        <v>0</v>
      </c>
      <c r="M81" s="87">
        <f>'2017-2018 ENERGY BALANCE'!J16*1000</f>
        <v>0</v>
      </c>
    </row>
    <row r="82" spans="1:13" x14ac:dyDescent="0.2">
      <c r="A82" s="46" t="s">
        <v>31</v>
      </c>
      <c r="B82" s="47">
        <v>0</v>
      </c>
      <c r="C82" s="47">
        <v>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7">
        <v>0</v>
      </c>
      <c r="L82" s="42">
        <f>'2017-2018 ENERGY BALANCE'!J35*1000</f>
        <v>0</v>
      </c>
      <c r="M82" s="87">
        <f>'2017-2018 ENERGY BALANCE'!J17*1000</f>
        <v>0</v>
      </c>
    </row>
    <row r="85" spans="1:13" x14ac:dyDescent="0.2">
      <c r="A85" s="44" t="s">
        <v>87</v>
      </c>
    </row>
    <row r="86" spans="1:13" x14ac:dyDescent="0.2">
      <c r="A86" s="44" t="s">
        <v>88</v>
      </c>
      <c r="B86" s="44" t="s">
        <v>89</v>
      </c>
    </row>
    <row r="88" spans="1:13" x14ac:dyDescent="0.2">
      <c r="A88" s="44" t="s">
        <v>90</v>
      </c>
      <c r="B88" s="44" t="s">
        <v>91</v>
      </c>
    </row>
    <row r="89" spans="1:13" x14ac:dyDescent="0.2">
      <c r="A89" s="44" t="s">
        <v>92</v>
      </c>
      <c r="B89" s="44" t="s">
        <v>99</v>
      </c>
    </row>
    <row r="90" spans="1:13" x14ac:dyDescent="0.2">
      <c r="A90" s="44" t="s">
        <v>94</v>
      </c>
      <c r="B90" s="44" t="s">
        <v>97</v>
      </c>
    </row>
    <row r="92" spans="1:13" x14ac:dyDescent="0.2">
      <c r="A92" s="46" t="s">
        <v>96</v>
      </c>
      <c r="B92" s="46" t="s">
        <v>46</v>
      </c>
      <c r="C92" s="46" t="s">
        <v>47</v>
      </c>
      <c r="D92" s="46" t="s">
        <v>52</v>
      </c>
      <c r="E92" s="46" t="s">
        <v>53</v>
      </c>
      <c r="F92" s="46" t="s">
        <v>54</v>
      </c>
      <c r="G92" s="46" t="s">
        <v>55</v>
      </c>
      <c r="H92" s="46" t="s">
        <v>56</v>
      </c>
      <c r="I92" s="46" t="s">
        <v>48</v>
      </c>
      <c r="J92" s="46" t="s">
        <v>49</v>
      </c>
      <c r="K92" s="46" t="s">
        <v>50</v>
      </c>
      <c r="L92" s="46" t="s">
        <v>51</v>
      </c>
      <c r="M92" s="46" t="s">
        <v>151</v>
      </c>
    </row>
    <row r="93" spans="1:13" x14ac:dyDescent="0.2">
      <c r="A93" s="46" t="s">
        <v>59</v>
      </c>
      <c r="B93" s="47">
        <v>0</v>
      </c>
      <c r="C93" s="47">
        <v>0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</row>
    <row r="94" spans="1:13" x14ac:dyDescent="0.2">
      <c r="A94" s="46" t="s">
        <v>38</v>
      </c>
      <c r="B94" s="47">
        <v>0</v>
      </c>
      <c r="C94" s="47">
        <v>25</v>
      </c>
      <c r="D94" s="47">
        <v>25</v>
      </c>
      <c r="E94" s="47">
        <v>25</v>
      </c>
      <c r="F94" s="47">
        <v>25</v>
      </c>
      <c r="G94" s="47">
        <v>25</v>
      </c>
      <c r="H94" s="47">
        <v>25</v>
      </c>
      <c r="I94" s="47">
        <v>25</v>
      </c>
      <c r="J94" s="47">
        <v>0</v>
      </c>
      <c r="K94" s="47">
        <v>0</v>
      </c>
    </row>
    <row r="95" spans="1:13" x14ac:dyDescent="0.2">
      <c r="A95" s="46" t="s">
        <v>63</v>
      </c>
      <c r="B95" s="47">
        <v>0</v>
      </c>
      <c r="C95" s="47">
        <v>0</v>
      </c>
      <c r="D95" s="47">
        <v>0</v>
      </c>
      <c r="E95" s="47">
        <v>0</v>
      </c>
      <c r="F95" s="47">
        <v>0</v>
      </c>
      <c r="G95" s="47">
        <v>0</v>
      </c>
      <c r="H95" s="47">
        <v>0</v>
      </c>
      <c r="I95" s="47">
        <v>0</v>
      </c>
      <c r="J95" s="47">
        <v>0</v>
      </c>
      <c r="K95" s="47">
        <v>0</v>
      </c>
    </row>
    <row r="96" spans="1:13" x14ac:dyDescent="0.2">
      <c r="A96" s="46" t="s">
        <v>61</v>
      </c>
      <c r="B96" s="47">
        <v>0</v>
      </c>
      <c r="C96" s="47">
        <v>0</v>
      </c>
      <c r="D96" s="47">
        <v>0</v>
      </c>
      <c r="E96" s="47">
        <v>0</v>
      </c>
      <c r="F96" s="47">
        <v>0</v>
      </c>
      <c r="G96" s="47">
        <v>0</v>
      </c>
      <c r="H96" s="47">
        <v>0</v>
      </c>
      <c r="I96" s="47">
        <v>0</v>
      </c>
      <c r="J96" s="47">
        <v>0</v>
      </c>
      <c r="K96" s="47">
        <v>0</v>
      </c>
    </row>
    <row r="97" spans="1:11" x14ac:dyDescent="0.2">
      <c r="A97" s="46" t="s">
        <v>31</v>
      </c>
      <c r="B97" s="47">
        <v>0</v>
      </c>
      <c r="C97" s="47">
        <v>0</v>
      </c>
      <c r="D97" s="47">
        <v>0</v>
      </c>
      <c r="E97" s="47">
        <v>0</v>
      </c>
      <c r="F97" s="47">
        <v>0</v>
      </c>
      <c r="G97" s="47">
        <v>0</v>
      </c>
      <c r="H97" s="47">
        <v>0</v>
      </c>
      <c r="I97" s="47">
        <v>0</v>
      </c>
      <c r="J97" s="47">
        <v>0</v>
      </c>
      <c r="K97" s="47">
        <v>0</v>
      </c>
    </row>
    <row r="100" spans="1:11" x14ac:dyDescent="0.2">
      <c r="A100" s="44" t="s">
        <v>87</v>
      </c>
    </row>
    <row r="101" spans="1:11" x14ac:dyDescent="0.2">
      <c r="A101" s="44" t="s">
        <v>88</v>
      </c>
      <c r="B101" s="44" t="s">
        <v>89</v>
      </c>
    </row>
    <row r="103" spans="1:11" x14ac:dyDescent="0.2">
      <c r="A103" s="44" t="s">
        <v>90</v>
      </c>
      <c r="B103" s="44" t="s">
        <v>91</v>
      </c>
    </row>
    <row r="104" spans="1:11" x14ac:dyDescent="0.2">
      <c r="A104" s="44" t="s">
        <v>92</v>
      </c>
      <c r="B104" s="44" t="s">
        <v>100</v>
      </c>
    </row>
    <row r="105" spans="1:11" x14ac:dyDescent="0.2">
      <c r="A105" s="44" t="s">
        <v>94</v>
      </c>
      <c r="B105" s="44" t="s">
        <v>97</v>
      </c>
    </row>
    <row r="107" spans="1:11" x14ac:dyDescent="0.2">
      <c r="A107" s="46" t="s">
        <v>96</v>
      </c>
      <c r="B107" s="46" t="s">
        <v>46</v>
      </c>
      <c r="C107" s="46" t="s">
        <v>47</v>
      </c>
      <c r="D107" s="46" t="s">
        <v>52</v>
      </c>
      <c r="E107" s="46" t="s">
        <v>53</v>
      </c>
      <c r="F107" s="46" t="s">
        <v>54</v>
      </c>
      <c r="G107" s="46" t="s">
        <v>55</v>
      </c>
      <c r="H107" s="46" t="s">
        <v>56</v>
      </c>
      <c r="I107" s="46" t="s">
        <v>48</v>
      </c>
      <c r="J107" s="46" t="s">
        <v>49</v>
      </c>
      <c r="K107" s="46" t="s">
        <v>50</v>
      </c>
    </row>
    <row r="108" spans="1:11" x14ac:dyDescent="0.2">
      <c r="A108" s="46" t="s">
        <v>59</v>
      </c>
      <c r="B108" s="47">
        <v>0</v>
      </c>
      <c r="C108" s="47">
        <v>0</v>
      </c>
      <c r="D108" s="47">
        <v>0</v>
      </c>
      <c r="E108" s="47">
        <v>0</v>
      </c>
      <c r="F108" s="47">
        <v>0</v>
      </c>
      <c r="G108" s="47">
        <v>0</v>
      </c>
      <c r="H108" s="47">
        <v>0</v>
      </c>
      <c r="I108" s="47">
        <v>0</v>
      </c>
      <c r="J108" s="47">
        <v>0</v>
      </c>
      <c r="K108" s="47">
        <v>0</v>
      </c>
    </row>
    <row r="109" spans="1:11" x14ac:dyDescent="0.2">
      <c r="A109" s="46" t="s">
        <v>38</v>
      </c>
      <c r="B109" s="47">
        <v>472</v>
      </c>
      <c r="C109" s="47">
        <v>282</v>
      </c>
      <c r="D109" s="47">
        <v>277</v>
      </c>
      <c r="E109" s="47">
        <v>313</v>
      </c>
      <c r="F109" s="47">
        <v>210</v>
      </c>
      <c r="G109" s="47">
        <v>211</v>
      </c>
      <c r="H109" s="47">
        <v>173</v>
      </c>
      <c r="I109" s="47">
        <v>160</v>
      </c>
      <c r="J109" s="47">
        <v>151</v>
      </c>
      <c r="K109" s="47">
        <v>189</v>
      </c>
    </row>
    <row r="110" spans="1:11" x14ac:dyDescent="0.2">
      <c r="A110" s="46" t="s">
        <v>63</v>
      </c>
      <c r="B110" s="47">
        <v>0</v>
      </c>
      <c r="C110" s="47">
        <v>0</v>
      </c>
      <c r="D110" s="47">
        <v>0</v>
      </c>
      <c r="E110" s="47">
        <v>0</v>
      </c>
      <c r="F110" s="47">
        <v>0</v>
      </c>
      <c r="G110" s="47">
        <v>0</v>
      </c>
      <c r="H110" s="47">
        <v>0</v>
      </c>
      <c r="I110" s="47">
        <v>0</v>
      </c>
      <c r="J110" s="47">
        <v>0</v>
      </c>
      <c r="K110" s="47">
        <v>0</v>
      </c>
    </row>
    <row r="111" spans="1:11" x14ac:dyDescent="0.2">
      <c r="A111" s="46" t="s">
        <v>61</v>
      </c>
      <c r="B111" s="47">
        <v>0</v>
      </c>
      <c r="C111" s="47">
        <v>0</v>
      </c>
      <c r="D111" s="47">
        <v>0</v>
      </c>
      <c r="E111" s="47">
        <v>0</v>
      </c>
      <c r="F111" s="47">
        <v>0</v>
      </c>
      <c r="G111" s="47">
        <v>0</v>
      </c>
      <c r="H111" s="47">
        <v>0</v>
      </c>
      <c r="I111" s="47">
        <v>0</v>
      </c>
      <c r="J111" s="47">
        <v>0</v>
      </c>
      <c r="K111" s="47">
        <v>0</v>
      </c>
    </row>
    <row r="112" spans="1:11" x14ac:dyDescent="0.2">
      <c r="A112" s="46" t="s">
        <v>31</v>
      </c>
      <c r="B112" s="47">
        <v>0</v>
      </c>
      <c r="C112" s="47">
        <v>0</v>
      </c>
      <c r="D112" s="47">
        <v>0</v>
      </c>
      <c r="E112" s="47">
        <v>0</v>
      </c>
      <c r="F112" s="47">
        <v>0</v>
      </c>
      <c r="G112" s="47">
        <v>0</v>
      </c>
      <c r="H112" s="47">
        <v>0</v>
      </c>
      <c r="I112" s="47">
        <v>0</v>
      </c>
      <c r="J112" s="47">
        <v>0</v>
      </c>
      <c r="K112" s="47">
        <v>0</v>
      </c>
    </row>
    <row r="115" spans="1:11" x14ac:dyDescent="0.2">
      <c r="A115" s="44" t="s">
        <v>87</v>
      </c>
    </row>
    <row r="116" spans="1:11" x14ac:dyDescent="0.2">
      <c r="A116" s="44" t="s">
        <v>88</v>
      </c>
      <c r="B116" s="44" t="s">
        <v>89</v>
      </c>
    </row>
    <row r="118" spans="1:11" x14ac:dyDescent="0.2">
      <c r="A118" s="44" t="s">
        <v>90</v>
      </c>
      <c r="B118" s="44" t="s">
        <v>91</v>
      </c>
    </row>
    <row r="119" spans="1:11" x14ac:dyDescent="0.2">
      <c r="A119" s="44" t="s">
        <v>92</v>
      </c>
      <c r="B119" s="44" t="s">
        <v>101</v>
      </c>
    </row>
    <row r="120" spans="1:11" x14ac:dyDescent="0.2">
      <c r="A120" s="44" t="s">
        <v>94</v>
      </c>
      <c r="B120" s="44" t="s">
        <v>97</v>
      </c>
    </row>
    <row r="122" spans="1:11" x14ac:dyDescent="0.2">
      <c r="A122" s="46" t="s">
        <v>96</v>
      </c>
      <c r="B122" s="46" t="s">
        <v>46</v>
      </c>
      <c r="C122" s="46" t="s">
        <v>47</v>
      </c>
      <c r="D122" s="46" t="s">
        <v>52</v>
      </c>
      <c r="E122" s="46" t="s">
        <v>53</v>
      </c>
      <c r="F122" s="46" t="s">
        <v>54</v>
      </c>
      <c r="G122" s="46" t="s">
        <v>55</v>
      </c>
      <c r="H122" s="46" t="s">
        <v>56</v>
      </c>
      <c r="I122" s="46" t="s">
        <v>48</v>
      </c>
      <c r="J122" s="46" t="s">
        <v>49</v>
      </c>
      <c r="K122" s="46" t="s">
        <v>50</v>
      </c>
    </row>
    <row r="123" spans="1:11" x14ac:dyDescent="0.2">
      <c r="A123" s="46" t="s">
        <v>59</v>
      </c>
      <c r="B123" s="47">
        <v>21604</v>
      </c>
      <c r="C123" s="47">
        <v>20175</v>
      </c>
      <c r="D123" s="47">
        <v>19080</v>
      </c>
      <c r="E123" s="47">
        <v>19939</v>
      </c>
      <c r="F123" s="47">
        <v>16773</v>
      </c>
      <c r="G123" s="47">
        <v>14159</v>
      </c>
      <c r="H123" s="47">
        <v>13348</v>
      </c>
      <c r="I123" s="47">
        <v>9786</v>
      </c>
      <c r="J123" s="47">
        <v>10024</v>
      </c>
      <c r="K123" s="47">
        <v>9682</v>
      </c>
    </row>
    <row r="124" spans="1:11" x14ac:dyDescent="0.2">
      <c r="A124" s="46" t="s">
        <v>38</v>
      </c>
      <c r="B124" s="47">
        <v>27545</v>
      </c>
      <c r="C124" s="47">
        <v>20959</v>
      </c>
      <c r="D124" s="47">
        <v>21264</v>
      </c>
      <c r="E124" s="47">
        <v>23225</v>
      </c>
      <c r="F124" s="47">
        <v>17445</v>
      </c>
      <c r="G124" s="47">
        <v>18297</v>
      </c>
      <c r="H124" s="47">
        <v>15913</v>
      </c>
      <c r="I124" s="47">
        <v>15394</v>
      </c>
      <c r="J124" s="47">
        <v>13704</v>
      </c>
      <c r="K124" s="47">
        <v>14138</v>
      </c>
    </row>
    <row r="125" spans="1:11" x14ac:dyDescent="0.2">
      <c r="A125" s="46" t="s">
        <v>63</v>
      </c>
      <c r="B125" s="47">
        <v>6215</v>
      </c>
      <c r="C125" s="47">
        <v>4070</v>
      </c>
      <c r="D125" s="47">
        <v>3218</v>
      </c>
      <c r="E125" s="47">
        <v>2957</v>
      </c>
      <c r="F125" s="47">
        <v>2188</v>
      </c>
      <c r="G125" s="47">
        <v>1673</v>
      </c>
      <c r="H125" s="47">
        <v>1802</v>
      </c>
      <c r="I125" s="47">
        <v>1244</v>
      </c>
      <c r="J125" s="47">
        <v>1244</v>
      </c>
      <c r="K125" s="47">
        <v>944</v>
      </c>
    </row>
    <row r="126" spans="1:11" x14ac:dyDescent="0.2">
      <c r="A126" s="46" t="s">
        <v>61</v>
      </c>
      <c r="B126" s="47">
        <v>132</v>
      </c>
      <c r="C126" s="47">
        <v>178</v>
      </c>
      <c r="D126" s="47">
        <v>132</v>
      </c>
      <c r="E126" s="47">
        <v>133</v>
      </c>
      <c r="F126" s="47">
        <v>133</v>
      </c>
      <c r="G126" s="47">
        <v>90</v>
      </c>
      <c r="H126" s="47">
        <v>90</v>
      </c>
      <c r="I126" s="47">
        <v>133</v>
      </c>
      <c r="J126" s="47">
        <v>137</v>
      </c>
      <c r="K126" s="47">
        <v>90</v>
      </c>
    </row>
    <row r="127" spans="1:11" x14ac:dyDescent="0.2">
      <c r="A127" s="46" t="s">
        <v>31</v>
      </c>
      <c r="B127" s="47">
        <v>8409</v>
      </c>
      <c r="C127" s="47">
        <v>6986</v>
      </c>
      <c r="D127" s="47">
        <v>7030</v>
      </c>
      <c r="E127" s="47">
        <v>17635</v>
      </c>
      <c r="F127" s="47">
        <v>15184</v>
      </c>
      <c r="G127" s="47">
        <v>15265</v>
      </c>
      <c r="H127" s="47">
        <v>15133</v>
      </c>
      <c r="I127" s="47">
        <v>13544</v>
      </c>
      <c r="J127" s="47">
        <v>13501</v>
      </c>
      <c r="K127" s="47">
        <v>13394</v>
      </c>
    </row>
    <row r="130" spans="1:11" x14ac:dyDescent="0.2">
      <c r="A130" s="44" t="s">
        <v>87</v>
      </c>
    </row>
    <row r="131" spans="1:11" x14ac:dyDescent="0.2">
      <c r="A131" s="44" t="s">
        <v>88</v>
      </c>
      <c r="B131" s="44" t="s">
        <v>89</v>
      </c>
    </row>
    <row r="133" spans="1:11" x14ac:dyDescent="0.2">
      <c r="A133" s="44" t="s">
        <v>90</v>
      </c>
      <c r="B133" s="44" t="s">
        <v>91</v>
      </c>
    </row>
    <row r="134" spans="1:11" x14ac:dyDescent="0.2">
      <c r="A134" s="44" t="s">
        <v>92</v>
      </c>
      <c r="B134" s="44" t="s">
        <v>102</v>
      </c>
    </row>
    <row r="135" spans="1:11" x14ac:dyDescent="0.2">
      <c r="A135" s="44" t="s">
        <v>94</v>
      </c>
      <c r="B135" s="44" t="s">
        <v>97</v>
      </c>
    </row>
    <row r="137" spans="1:11" x14ac:dyDescent="0.2">
      <c r="A137" s="46" t="s">
        <v>96</v>
      </c>
      <c r="B137" s="46" t="s">
        <v>46</v>
      </c>
      <c r="C137" s="46" t="s">
        <v>47</v>
      </c>
      <c r="D137" s="46" t="s">
        <v>52</v>
      </c>
      <c r="E137" s="46" t="s">
        <v>53</v>
      </c>
      <c r="F137" s="46" t="s">
        <v>54</v>
      </c>
      <c r="G137" s="46" t="s">
        <v>55</v>
      </c>
      <c r="H137" s="46" t="s">
        <v>56</v>
      </c>
      <c r="I137" s="46" t="s">
        <v>48</v>
      </c>
      <c r="J137" s="46" t="s">
        <v>49</v>
      </c>
      <c r="K137" s="46" t="s">
        <v>50</v>
      </c>
    </row>
    <row r="138" spans="1:11" x14ac:dyDescent="0.2">
      <c r="A138" s="46" t="s">
        <v>59</v>
      </c>
      <c r="B138" s="47">
        <v>874</v>
      </c>
      <c r="C138" s="47">
        <v>782</v>
      </c>
      <c r="D138" s="47">
        <v>690</v>
      </c>
      <c r="E138" s="47">
        <v>782</v>
      </c>
      <c r="F138" s="47">
        <v>782</v>
      </c>
      <c r="G138" s="47">
        <v>736</v>
      </c>
      <c r="H138" s="47">
        <v>690</v>
      </c>
      <c r="I138" s="47">
        <v>552</v>
      </c>
      <c r="J138" s="47">
        <v>736</v>
      </c>
      <c r="K138" s="47">
        <v>736</v>
      </c>
    </row>
    <row r="139" spans="1:11" x14ac:dyDescent="0.2">
      <c r="A139" s="46" t="s">
        <v>38</v>
      </c>
      <c r="B139" s="47">
        <v>185</v>
      </c>
      <c r="C139" s="47">
        <v>277</v>
      </c>
      <c r="D139" s="47">
        <v>323</v>
      </c>
      <c r="E139" s="47">
        <v>231</v>
      </c>
      <c r="F139" s="47">
        <v>185</v>
      </c>
      <c r="G139" s="47">
        <v>139</v>
      </c>
      <c r="H139" s="47">
        <v>185</v>
      </c>
      <c r="I139" s="47">
        <v>185</v>
      </c>
      <c r="J139" s="47">
        <v>232</v>
      </c>
      <c r="K139" s="47">
        <v>185</v>
      </c>
    </row>
    <row r="140" spans="1:11" x14ac:dyDescent="0.2">
      <c r="A140" s="46" t="s">
        <v>63</v>
      </c>
      <c r="B140" s="48" t="s">
        <v>88</v>
      </c>
      <c r="C140" s="48" t="s">
        <v>88</v>
      </c>
      <c r="D140" s="48" t="s">
        <v>88</v>
      </c>
      <c r="E140" s="48" t="s">
        <v>88</v>
      </c>
      <c r="F140" s="48" t="s">
        <v>88</v>
      </c>
      <c r="G140" s="48" t="s">
        <v>88</v>
      </c>
      <c r="H140" s="48" t="s">
        <v>88</v>
      </c>
      <c r="I140" s="47">
        <v>0</v>
      </c>
      <c r="J140" s="48" t="s">
        <v>88</v>
      </c>
      <c r="K140" s="48" t="s">
        <v>88</v>
      </c>
    </row>
    <row r="141" spans="1:11" x14ac:dyDescent="0.2">
      <c r="A141" s="46" t="s">
        <v>61</v>
      </c>
      <c r="B141" s="47">
        <v>46</v>
      </c>
      <c r="C141" s="47">
        <v>92</v>
      </c>
      <c r="D141" s="47">
        <v>46</v>
      </c>
      <c r="E141" s="47">
        <v>47</v>
      </c>
      <c r="F141" s="47">
        <v>47</v>
      </c>
      <c r="G141" s="47">
        <v>47</v>
      </c>
      <c r="H141" s="47">
        <v>47</v>
      </c>
      <c r="I141" s="47">
        <v>47</v>
      </c>
      <c r="J141" s="47">
        <v>94</v>
      </c>
      <c r="K141" s="47">
        <v>47</v>
      </c>
    </row>
    <row r="142" spans="1:11" x14ac:dyDescent="0.2">
      <c r="A142" s="46" t="s">
        <v>31</v>
      </c>
      <c r="B142" s="47">
        <v>553</v>
      </c>
      <c r="C142" s="47">
        <v>553</v>
      </c>
      <c r="D142" s="47">
        <v>553</v>
      </c>
      <c r="E142" s="47">
        <v>184</v>
      </c>
      <c r="F142" s="47">
        <v>138</v>
      </c>
      <c r="G142" s="47">
        <v>92</v>
      </c>
      <c r="H142" s="47">
        <v>46</v>
      </c>
      <c r="I142" s="47">
        <v>46</v>
      </c>
      <c r="J142" s="47">
        <v>46</v>
      </c>
      <c r="K142" s="47">
        <v>46</v>
      </c>
    </row>
    <row r="145" spans="1:11" x14ac:dyDescent="0.2">
      <c r="A145" s="44" t="s">
        <v>87</v>
      </c>
    </row>
    <row r="146" spans="1:11" x14ac:dyDescent="0.2">
      <c r="A146" s="44" t="s">
        <v>88</v>
      </c>
      <c r="B146" s="44" t="s">
        <v>89</v>
      </c>
    </row>
    <row r="148" spans="1:11" x14ac:dyDescent="0.2">
      <c r="A148" s="44" t="s">
        <v>90</v>
      </c>
      <c r="B148" s="44" t="s">
        <v>91</v>
      </c>
    </row>
    <row r="149" spans="1:11" x14ac:dyDescent="0.2">
      <c r="A149" s="44" t="s">
        <v>92</v>
      </c>
      <c r="B149" s="44" t="s">
        <v>103</v>
      </c>
    </row>
    <row r="150" spans="1:11" x14ac:dyDescent="0.2">
      <c r="A150" s="44" t="s">
        <v>94</v>
      </c>
      <c r="B150" s="44" t="s">
        <v>97</v>
      </c>
    </row>
    <row r="152" spans="1:11" x14ac:dyDescent="0.2">
      <c r="A152" s="46" t="s">
        <v>96</v>
      </c>
      <c r="B152" s="46" t="s">
        <v>46</v>
      </c>
      <c r="C152" s="46" t="s">
        <v>47</v>
      </c>
      <c r="D152" s="46" t="s">
        <v>52</v>
      </c>
      <c r="E152" s="46" t="s">
        <v>53</v>
      </c>
      <c r="F152" s="46" t="s">
        <v>54</v>
      </c>
      <c r="G152" s="46" t="s">
        <v>55</v>
      </c>
      <c r="H152" s="46" t="s">
        <v>56</v>
      </c>
      <c r="I152" s="46" t="s">
        <v>48</v>
      </c>
      <c r="J152" s="46" t="s">
        <v>49</v>
      </c>
      <c r="K152" s="46" t="s">
        <v>50</v>
      </c>
    </row>
    <row r="153" spans="1:11" x14ac:dyDescent="0.2">
      <c r="A153" s="46" t="s">
        <v>59</v>
      </c>
      <c r="B153" s="47">
        <v>1183</v>
      </c>
      <c r="C153" s="47">
        <v>1139</v>
      </c>
      <c r="D153" s="47">
        <v>1095</v>
      </c>
      <c r="E153" s="47">
        <v>1051</v>
      </c>
      <c r="F153" s="47">
        <v>964</v>
      </c>
      <c r="G153" s="47">
        <v>920</v>
      </c>
      <c r="H153" s="47">
        <v>876</v>
      </c>
      <c r="I153" s="47">
        <v>876</v>
      </c>
      <c r="J153" s="47">
        <v>876</v>
      </c>
      <c r="K153" s="47">
        <v>876</v>
      </c>
    </row>
    <row r="154" spans="1:11" x14ac:dyDescent="0.2">
      <c r="A154" s="46" t="s">
        <v>38</v>
      </c>
      <c r="B154" s="47">
        <v>0</v>
      </c>
      <c r="C154" s="47">
        <v>0</v>
      </c>
      <c r="D154" s="47">
        <v>0</v>
      </c>
      <c r="E154" s="47">
        <v>0</v>
      </c>
      <c r="F154" s="47">
        <v>0</v>
      </c>
      <c r="G154" s="47">
        <v>0</v>
      </c>
      <c r="H154" s="47">
        <v>0</v>
      </c>
      <c r="I154" s="47">
        <v>0</v>
      </c>
      <c r="J154" s="47">
        <v>0</v>
      </c>
      <c r="K154" s="47">
        <v>0</v>
      </c>
    </row>
    <row r="155" spans="1:11" x14ac:dyDescent="0.2">
      <c r="A155" s="46" t="s">
        <v>63</v>
      </c>
      <c r="B155" s="48" t="s">
        <v>88</v>
      </c>
      <c r="C155" s="48" t="s">
        <v>88</v>
      </c>
      <c r="D155" s="48" t="s">
        <v>88</v>
      </c>
      <c r="E155" s="48" t="s">
        <v>88</v>
      </c>
      <c r="F155" s="48" t="s">
        <v>88</v>
      </c>
      <c r="G155" s="48" t="s">
        <v>88</v>
      </c>
      <c r="H155" s="48" t="s">
        <v>88</v>
      </c>
      <c r="I155" s="48" t="s">
        <v>88</v>
      </c>
      <c r="J155" s="48" t="s">
        <v>88</v>
      </c>
      <c r="K155" s="48" t="s">
        <v>88</v>
      </c>
    </row>
    <row r="156" spans="1:11" x14ac:dyDescent="0.2">
      <c r="A156" s="46" t="s">
        <v>61</v>
      </c>
      <c r="B156" s="48" t="s">
        <v>88</v>
      </c>
      <c r="C156" s="48" t="s">
        <v>88</v>
      </c>
      <c r="D156" s="48" t="s">
        <v>88</v>
      </c>
      <c r="E156" s="48" t="s">
        <v>88</v>
      </c>
      <c r="F156" s="48" t="s">
        <v>88</v>
      </c>
      <c r="G156" s="48" t="s">
        <v>88</v>
      </c>
      <c r="H156" s="48" t="s">
        <v>88</v>
      </c>
      <c r="I156" s="48" t="s">
        <v>88</v>
      </c>
      <c r="J156" s="48" t="s">
        <v>88</v>
      </c>
      <c r="K156" s="48" t="s">
        <v>88</v>
      </c>
    </row>
    <row r="157" spans="1:11" x14ac:dyDescent="0.2">
      <c r="A157" s="46" t="s">
        <v>31</v>
      </c>
      <c r="B157" s="47">
        <v>718</v>
      </c>
      <c r="C157" s="47">
        <v>718</v>
      </c>
      <c r="D157" s="47">
        <v>718</v>
      </c>
      <c r="E157" s="47">
        <v>6629</v>
      </c>
      <c r="F157" s="47">
        <v>6629</v>
      </c>
      <c r="G157" s="47">
        <v>6629</v>
      </c>
      <c r="H157" s="47">
        <v>6585</v>
      </c>
      <c r="I157" s="47">
        <v>6629</v>
      </c>
      <c r="J157" s="47">
        <v>6629</v>
      </c>
      <c r="K157" s="47">
        <v>6366</v>
      </c>
    </row>
    <row r="161" spans="1:11" x14ac:dyDescent="0.2">
      <c r="A161" s="44" t="s">
        <v>87</v>
      </c>
    </row>
    <row r="162" spans="1:11" x14ac:dyDescent="0.2">
      <c r="A162" s="44" t="s">
        <v>88</v>
      </c>
      <c r="B162" s="44" t="s">
        <v>89</v>
      </c>
    </row>
    <row r="164" spans="1:11" x14ac:dyDescent="0.2">
      <c r="A164" s="44" t="s">
        <v>90</v>
      </c>
      <c r="B164" s="44" t="s">
        <v>91</v>
      </c>
    </row>
    <row r="165" spans="1:11" x14ac:dyDescent="0.2">
      <c r="A165" s="44" t="s">
        <v>92</v>
      </c>
      <c r="B165" s="44" t="s">
        <v>104</v>
      </c>
    </row>
    <row r="166" spans="1:11" x14ac:dyDescent="0.2">
      <c r="A166" s="44" t="s">
        <v>94</v>
      </c>
      <c r="B166" s="44" t="s">
        <v>97</v>
      </c>
    </row>
    <row r="168" spans="1:11" x14ac:dyDescent="0.2">
      <c r="A168" s="46" t="s">
        <v>96</v>
      </c>
      <c r="B168" s="46" t="s">
        <v>46</v>
      </c>
      <c r="C168" s="46" t="s">
        <v>47</v>
      </c>
      <c r="D168" s="46" t="s">
        <v>52</v>
      </c>
      <c r="E168" s="46" t="s">
        <v>53</v>
      </c>
      <c r="F168" s="46" t="s">
        <v>54</v>
      </c>
      <c r="G168" s="46" t="s">
        <v>55</v>
      </c>
      <c r="H168" s="46" t="s">
        <v>56</v>
      </c>
      <c r="I168" s="46" t="s">
        <v>48</v>
      </c>
      <c r="J168" s="46" t="s">
        <v>49</v>
      </c>
      <c r="K168" s="46" t="s">
        <v>50</v>
      </c>
    </row>
    <row r="169" spans="1:11" x14ac:dyDescent="0.2">
      <c r="A169" s="46" t="s">
        <v>59</v>
      </c>
      <c r="B169" s="47">
        <v>87</v>
      </c>
      <c r="C169" s="47">
        <v>87</v>
      </c>
      <c r="D169" s="47">
        <v>87</v>
      </c>
      <c r="E169" s="47">
        <v>44</v>
      </c>
      <c r="F169" s="47">
        <v>0</v>
      </c>
      <c r="G169" s="47">
        <v>0</v>
      </c>
      <c r="H169" s="47">
        <v>0</v>
      </c>
      <c r="I169" s="48" t="s">
        <v>88</v>
      </c>
      <c r="J169" s="48" t="s">
        <v>88</v>
      </c>
      <c r="K169" s="48" t="s">
        <v>88</v>
      </c>
    </row>
    <row r="170" spans="1:11" x14ac:dyDescent="0.2">
      <c r="A170" s="46" t="s">
        <v>38</v>
      </c>
      <c r="B170" s="47">
        <v>0</v>
      </c>
      <c r="C170" s="47">
        <v>0</v>
      </c>
      <c r="D170" s="47">
        <v>0</v>
      </c>
      <c r="E170" s="47">
        <v>0</v>
      </c>
      <c r="F170" s="47">
        <v>0</v>
      </c>
      <c r="G170" s="47">
        <v>0</v>
      </c>
      <c r="H170" s="47">
        <v>0</v>
      </c>
      <c r="I170" s="47">
        <v>0</v>
      </c>
      <c r="J170" s="47">
        <v>0</v>
      </c>
      <c r="K170" s="47">
        <v>0</v>
      </c>
    </row>
    <row r="171" spans="1:11" x14ac:dyDescent="0.2">
      <c r="A171" s="46" t="s">
        <v>63</v>
      </c>
      <c r="B171" s="48" t="s">
        <v>88</v>
      </c>
      <c r="C171" s="48" t="s">
        <v>88</v>
      </c>
      <c r="D171" s="48" t="s">
        <v>88</v>
      </c>
      <c r="E171" s="48" t="s">
        <v>88</v>
      </c>
      <c r="F171" s="48" t="s">
        <v>88</v>
      </c>
      <c r="G171" s="48" t="s">
        <v>88</v>
      </c>
      <c r="H171" s="48" t="s">
        <v>88</v>
      </c>
      <c r="I171" s="47">
        <v>0</v>
      </c>
      <c r="J171" s="48" t="s">
        <v>88</v>
      </c>
      <c r="K171" s="48" t="s">
        <v>88</v>
      </c>
    </row>
    <row r="172" spans="1:11" x14ac:dyDescent="0.2">
      <c r="A172" s="46" t="s">
        <v>61</v>
      </c>
      <c r="B172" s="48" t="s">
        <v>88</v>
      </c>
      <c r="C172" s="48" t="s">
        <v>88</v>
      </c>
      <c r="D172" s="48" t="s">
        <v>88</v>
      </c>
      <c r="E172" s="48" t="s">
        <v>88</v>
      </c>
      <c r="F172" s="48" t="s">
        <v>88</v>
      </c>
      <c r="G172" s="48" t="s">
        <v>88</v>
      </c>
      <c r="H172" s="48" t="s">
        <v>88</v>
      </c>
      <c r="I172" s="48" t="s">
        <v>88</v>
      </c>
      <c r="J172" s="48" t="s">
        <v>88</v>
      </c>
      <c r="K172" s="48" t="s">
        <v>88</v>
      </c>
    </row>
    <row r="173" spans="1:11" x14ac:dyDescent="0.2">
      <c r="A173" s="46" t="s">
        <v>31</v>
      </c>
      <c r="B173" s="47">
        <v>3362</v>
      </c>
      <c r="C173" s="47">
        <v>2414</v>
      </c>
      <c r="D173" s="47">
        <v>2198</v>
      </c>
      <c r="E173" s="47">
        <v>2284</v>
      </c>
      <c r="F173" s="47">
        <v>1767</v>
      </c>
      <c r="G173" s="47">
        <v>1422</v>
      </c>
      <c r="H173" s="47">
        <v>1681</v>
      </c>
      <c r="I173" s="47">
        <v>1164</v>
      </c>
      <c r="J173" s="47">
        <v>1078</v>
      </c>
      <c r="K173" s="47">
        <v>1078</v>
      </c>
    </row>
    <row r="175" spans="1:11" x14ac:dyDescent="0.2">
      <c r="A175" s="44" t="s">
        <v>87</v>
      </c>
    </row>
    <row r="176" spans="1:11" x14ac:dyDescent="0.2">
      <c r="A176" s="44" t="s">
        <v>88</v>
      </c>
      <c r="B176" s="44" t="s">
        <v>89</v>
      </c>
    </row>
    <row r="179" spans="1:11" x14ac:dyDescent="0.2">
      <c r="A179" s="44" t="s">
        <v>87</v>
      </c>
    </row>
    <row r="180" spans="1:11" x14ac:dyDescent="0.2">
      <c r="A180" s="44" t="s">
        <v>88</v>
      </c>
      <c r="B180" s="44" t="s">
        <v>89</v>
      </c>
    </row>
    <row r="182" spans="1:11" x14ac:dyDescent="0.2">
      <c r="A182" s="44" t="s">
        <v>90</v>
      </c>
      <c r="B182" s="44" t="s">
        <v>91</v>
      </c>
    </row>
    <row r="183" spans="1:11" x14ac:dyDescent="0.2">
      <c r="A183" s="44" t="s">
        <v>92</v>
      </c>
      <c r="B183" s="44" t="s">
        <v>105</v>
      </c>
    </row>
    <row r="184" spans="1:11" x14ac:dyDescent="0.2">
      <c r="A184" s="44" t="s">
        <v>94</v>
      </c>
      <c r="B184" s="44" t="s">
        <v>97</v>
      </c>
    </row>
    <row r="186" spans="1:11" x14ac:dyDescent="0.2">
      <c r="A186" s="46" t="s">
        <v>96</v>
      </c>
      <c r="B186" s="46" t="s">
        <v>46</v>
      </c>
      <c r="C186" s="46" t="s">
        <v>47</v>
      </c>
      <c r="D186" s="46" t="s">
        <v>52</v>
      </c>
      <c r="E186" s="46" t="s">
        <v>53</v>
      </c>
      <c r="F186" s="46" t="s">
        <v>54</v>
      </c>
      <c r="G186" s="46" t="s">
        <v>55</v>
      </c>
      <c r="H186" s="46" t="s">
        <v>56</v>
      </c>
      <c r="I186" s="46" t="s">
        <v>48</v>
      </c>
      <c r="J186" s="46" t="s">
        <v>49</v>
      </c>
      <c r="K186" s="46" t="s">
        <v>50</v>
      </c>
    </row>
    <row r="187" spans="1:11" x14ac:dyDescent="0.2">
      <c r="A187" s="46" t="s">
        <v>59</v>
      </c>
      <c r="B187" s="47">
        <v>19428</v>
      </c>
      <c r="C187" s="47">
        <v>18105</v>
      </c>
      <c r="D187" s="47">
        <v>17208</v>
      </c>
      <c r="E187" s="47">
        <v>18062</v>
      </c>
      <c r="F187" s="47">
        <v>14988</v>
      </c>
      <c r="G187" s="47">
        <v>12383</v>
      </c>
      <c r="H187" s="47">
        <v>11742</v>
      </c>
      <c r="I187" s="47">
        <v>8198</v>
      </c>
      <c r="J187" s="47">
        <v>8412</v>
      </c>
      <c r="K187" s="47">
        <v>8070</v>
      </c>
    </row>
    <row r="188" spans="1:11" x14ac:dyDescent="0.2">
      <c r="A188" s="46" t="s">
        <v>38</v>
      </c>
      <c r="B188" s="47">
        <v>27120</v>
      </c>
      <c r="C188" s="47">
        <v>20362</v>
      </c>
      <c r="D188" s="47">
        <v>20620</v>
      </c>
      <c r="E188" s="47">
        <v>22634</v>
      </c>
      <c r="F188" s="47">
        <v>16940</v>
      </c>
      <c r="G188" s="47">
        <v>17839</v>
      </c>
      <c r="H188" s="47">
        <v>15407</v>
      </c>
      <c r="I188" s="47">
        <v>14889</v>
      </c>
      <c r="J188" s="47">
        <v>13192</v>
      </c>
      <c r="K188" s="47">
        <v>13712</v>
      </c>
    </row>
    <row r="189" spans="1:11" x14ac:dyDescent="0.2">
      <c r="A189" s="46" t="s">
        <v>63</v>
      </c>
      <c r="B189" s="47">
        <v>6135</v>
      </c>
      <c r="C189" s="47">
        <v>3990</v>
      </c>
      <c r="D189" s="47">
        <v>3218</v>
      </c>
      <c r="E189" s="47">
        <v>2917</v>
      </c>
      <c r="F189" s="47">
        <v>2188</v>
      </c>
      <c r="G189" s="47">
        <v>1673</v>
      </c>
      <c r="H189" s="47">
        <v>1802</v>
      </c>
      <c r="I189" s="47">
        <v>1244</v>
      </c>
      <c r="J189" s="47">
        <v>1244</v>
      </c>
      <c r="K189" s="47">
        <v>944</v>
      </c>
    </row>
    <row r="190" spans="1:11" x14ac:dyDescent="0.2">
      <c r="A190" s="46" t="s">
        <v>61</v>
      </c>
      <c r="B190" s="47">
        <v>86</v>
      </c>
      <c r="C190" s="47">
        <v>86</v>
      </c>
      <c r="D190" s="47">
        <v>86</v>
      </c>
      <c r="E190" s="47">
        <v>86</v>
      </c>
      <c r="F190" s="47">
        <v>86</v>
      </c>
      <c r="G190" s="47">
        <v>43</v>
      </c>
      <c r="H190" s="47">
        <v>43</v>
      </c>
      <c r="I190" s="47">
        <v>86</v>
      </c>
      <c r="J190" s="47">
        <v>43</v>
      </c>
      <c r="K190" s="47">
        <v>43</v>
      </c>
    </row>
    <row r="191" spans="1:11" x14ac:dyDescent="0.2">
      <c r="A191" s="46" t="s">
        <v>31</v>
      </c>
      <c r="B191" s="47">
        <v>3775</v>
      </c>
      <c r="C191" s="47">
        <v>3260</v>
      </c>
      <c r="D191" s="47">
        <v>3561</v>
      </c>
      <c r="E191" s="47">
        <v>8537</v>
      </c>
      <c r="F191" s="47">
        <v>6650</v>
      </c>
      <c r="G191" s="47">
        <v>7121</v>
      </c>
      <c r="H191" s="47">
        <v>6821</v>
      </c>
      <c r="I191" s="47">
        <v>5706</v>
      </c>
      <c r="J191" s="47">
        <v>5749</v>
      </c>
      <c r="K191" s="47">
        <v>5905</v>
      </c>
    </row>
    <row r="194" spans="1:11" x14ac:dyDescent="0.2">
      <c r="A194" s="44" t="s">
        <v>87</v>
      </c>
    </row>
    <row r="195" spans="1:11" x14ac:dyDescent="0.2">
      <c r="A195" s="44" t="s">
        <v>88</v>
      </c>
      <c r="B195" s="44" t="s">
        <v>89</v>
      </c>
    </row>
    <row r="197" spans="1:11" x14ac:dyDescent="0.2">
      <c r="A197" s="44" t="s">
        <v>90</v>
      </c>
      <c r="B197" s="44" t="s">
        <v>91</v>
      </c>
    </row>
    <row r="198" spans="1:11" x14ac:dyDescent="0.2">
      <c r="A198" s="44" t="s">
        <v>92</v>
      </c>
      <c r="B198" s="44" t="s">
        <v>106</v>
      </c>
    </row>
    <row r="199" spans="1:11" x14ac:dyDescent="0.2">
      <c r="A199" s="44" t="s">
        <v>94</v>
      </c>
      <c r="B199" s="44" t="s">
        <v>97</v>
      </c>
    </row>
    <row r="201" spans="1:11" x14ac:dyDescent="0.2">
      <c r="A201" s="46" t="s">
        <v>96</v>
      </c>
      <c r="B201" s="46" t="s">
        <v>46</v>
      </c>
      <c r="C201" s="46" t="s">
        <v>47</v>
      </c>
      <c r="D201" s="46" t="s">
        <v>52</v>
      </c>
      <c r="E201" s="46" t="s">
        <v>53</v>
      </c>
      <c r="F201" s="46" t="s">
        <v>54</v>
      </c>
      <c r="G201" s="46" t="s">
        <v>55</v>
      </c>
      <c r="H201" s="46" t="s">
        <v>56</v>
      </c>
      <c r="I201" s="46" t="s">
        <v>48</v>
      </c>
      <c r="J201" s="46" t="s">
        <v>49</v>
      </c>
      <c r="K201" s="46" t="s">
        <v>50</v>
      </c>
    </row>
    <row r="202" spans="1:11" x14ac:dyDescent="0.2">
      <c r="A202" s="46" t="s">
        <v>59</v>
      </c>
      <c r="B202" s="47">
        <v>0</v>
      </c>
      <c r="C202" s="47">
        <v>0</v>
      </c>
      <c r="D202" s="47">
        <v>0</v>
      </c>
      <c r="E202" s="47">
        <v>0</v>
      </c>
      <c r="F202" s="47">
        <v>40</v>
      </c>
      <c r="G202" s="47">
        <v>120</v>
      </c>
      <c r="H202" s="47">
        <v>40</v>
      </c>
      <c r="I202" s="47">
        <v>160</v>
      </c>
      <c r="J202" s="47">
        <v>0</v>
      </c>
      <c r="K202" s="47">
        <v>0</v>
      </c>
    </row>
    <row r="203" spans="1:11" x14ac:dyDescent="0.2">
      <c r="A203" s="46" t="s">
        <v>38</v>
      </c>
      <c r="B203" s="47">
        <v>240</v>
      </c>
      <c r="C203" s="47">
        <v>320</v>
      </c>
      <c r="D203" s="47">
        <v>320</v>
      </c>
      <c r="E203" s="47">
        <v>360</v>
      </c>
      <c r="F203" s="47">
        <v>320</v>
      </c>
      <c r="G203" s="47">
        <v>320</v>
      </c>
      <c r="H203" s="47">
        <v>320</v>
      </c>
      <c r="I203" s="47">
        <v>320</v>
      </c>
      <c r="J203" s="47">
        <v>280</v>
      </c>
      <c r="K203" s="47">
        <v>240</v>
      </c>
    </row>
    <row r="204" spans="1:11" x14ac:dyDescent="0.2">
      <c r="A204" s="46" t="s">
        <v>63</v>
      </c>
      <c r="B204" s="47">
        <v>80</v>
      </c>
      <c r="C204" s="47">
        <v>80</v>
      </c>
      <c r="D204" s="47">
        <v>0</v>
      </c>
      <c r="E204" s="47">
        <v>40</v>
      </c>
      <c r="F204" s="47">
        <v>0</v>
      </c>
      <c r="G204" s="47">
        <v>0</v>
      </c>
      <c r="H204" s="47">
        <v>0</v>
      </c>
      <c r="I204" s="47">
        <v>0</v>
      </c>
      <c r="J204" s="47">
        <v>0</v>
      </c>
      <c r="K204" s="47">
        <v>0</v>
      </c>
    </row>
    <row r="205" spans="1:11" x14ac:dyDescent="0.2">
      <c r="A205" s="46" t="s">
        <v>61</v>
      </c>
      <c r="B205" s="47">
        <v>0</v>
      </c>
      <c r="C205" s="47">
        <v>0</v>
      </c>
      <c r="D205" s="47">
        <v>0</v>
      </c>
      <c r="E205" s="47">
        <v>0</v>
      </c>
      <c r="F205" s="47">
        <v>0</v>
      </c>
      <c r="G205" s="47">
        <v>0</v>
      </c>
      <c r="H205" s="47">
        <v>0</v>
      </c>
      <c r="I205" s="47">
        <v>0</v>
      </c>
      <c r="J205" s="47">
        <v>0</v>
      </c>
      <c r="K205" s="47">
        <v>0</v>
      </c>
    </row>
    <row r="206" spans="1:11" x14ac:dyDescent="0.2">
      <c r="A206" s="46" t="s">
        <v>31</v>
      </c>
      <c r="B206" s="47">
        <v>0</v>
      </c>
      <c r="C206" s="47">
        <v>40</v>
      </c>
      <c r="D206" s="47">
        <v>0</v>
      </c>
      <c r="E206" s="47">
        <v>0</v>
      </c>
      <c r="F206" s="47">
        <v>0</v>
      </c>
      <c r="G206" s="47">
        <v>0</v>
      </c>
      <c r="H206" s="47">
        <v>0</v>
      </c>
      <c r="I206" s="47">
        <v>0</v>
      </c>
      <c r="J206" s="47">
        <v>0</v>
      </c>
      <c r="K206" s="47">
        <v>0</v>
      </c>
    </row>
    <row r="208" spans="1:11" x14ac:dyDescent="0.2">
      <c r="A208" s="44" t="s">
        <v>87</v>
      </c>
    </row>
    <row r="209" spans="1:11" x14ac:dyDescent="0.2">
      <c r="A209" s="44" t="s">
        <v>88</v>
      </c>
      <c r="B209" s="44" t="s">
        <v>89</v>
      </c>
    </row>
    <row r="211" spans="1:11" x14ac:dyDescent="0.2">
      <c r="A211" s="44" t="s">
        <v>90</v>
      </c>
      <c r="B211" s="44" t="s">
        <v>91</v>
      </c>
    </row>
    <row r="212" spans="1:11" x14ac:dyDescent="0.2">
      <c r="A212" s="44" t="s">
        <v>92</v>
      </c>
      <c r="B212" s="44" t="s">
        <v>80</v>
      </c>
    </row>
    <row r="213" spans="1:11" x14ac:dyDescent="0.2">
      <c r="A213" s="44" t="s">
        <v>94</v>
      </c>
      <c r="B213" s="44" t="s">
        <v>97</v>
      </c>
    </row>
    <row r="215" spans="1:11" x14ac:dyDescent="0.2">
      <c r="A215" s="46" t="s">
        <v>96</v>
      </c>
      <c r="B215" s="46" t="s">
        <v>46</v>
      </c>
      <c r="C215" s="46" t="s">
        <v>47</v>
      </c>
      <c r="D215" s="46" t="s">
        <v>52</v>
      </c>
      <c r="E215" s="46" t="s">
        <v>53</v>
      </c>
      <c r="F215" s="46" t="s">
        <v>54</v>
      </c>
      <c r="G215" s="46" t="s">
        <v>55</v>
      </c>
      <c r="H215" s="46" t="s">
        <v>56</v>
      </c>
      <c r="I215" s="46" t="s">
        <v>48</v>
      </c>
      <c r="J215" s="46" t="s">
        <v>49</v>
      </c>
      <c r="K215" s="46" t="s">
        <v>50</v>
      </c>
    </row>
    <row r="216" spans="1:11" x14ac:dyDescent="0.2">
      <c r="A216" s="46" t="s">
        <v>59</v>
      </c>
      <c r="B216" s="47">
        <v>26572</v>
      </c>
      <c r="C216" s="47">
        <v>26520</v>
      </c>
      <c r="D216" s="47">
        <v>26695</v>
      </c>
      <c r="E216" s="47">
        <v>31452</v>
      </c>
      <c r="F216" s="47">
        <v>27186</v>
      </c>
      <c r="G216" s="47">
        <v>27209</v>
      </c>
      <c r="H216" s="47">
        <v>27211</v>
      </c>
      <c r="I216" s="47">
        <v>23708</v>
      </c>
      <c r="J216" s="47">
        <v>24842</v>
      </c>
      <c r="K216" s="47">
        <v>26045</v>
      </c>
    </row>
    <row r="217" spans="1:11" x14ac:dyDescent="0.2">
      <c r="A217" s="46" t="s">
        <v>38</v>
      </c>
      <c r="B217" s="47">
        <v>1629</v>
      </c>
      <c r="C217" s="47">
        <v>1610</v>
      </c>
      <c r="D217" s="47">
        <v>1721</v>
      </c>
      <c r="E217" s="47">
        <v>1928</v>
      </c>
      <c r="F217" s="47">
        <v>1295</v>
      </c>
      <c r="G217" s="47">
        <v>1395</v>
      </c>
      <c r="H217" s="47">
        <v>1233</v>
      </c>
      <c r="I217" s="47">
        <v>1201</v>
      </c>
      <c r="J217" s="47">
        <v>1101</v>
      </c>
      <c r="K217" s="47">
        <v>1122</v>
      </c>
    </row>
    <row r="218" spans="1:11" x14ac:dyDescent="0.2">
      <c r="A218" s="46" t="s">
        <v>63</v>
      </c>
      <c r="B218" s="47">
        <v>2282</v>
      </c>
      <c r="C218" s="47">
        <v>2204</v>
      </c>
      <c r="D218" s="47">
        <v>3139</v>
      </c>
      <c r="E218" s="47">
        <v>3470</v>
      </c>
      <c r="F218" s="47">
        <v>3056</v>
      </c>
      <c r="G218" s="47">
        <v>2035</v>
      </c>
      <c r="H218" s="47">
        <v>1539</v>
      </c>
      <c r="I218" s="47">
        <v>1336</v>
      </c>
      <c r="J218" s="47">
        <v>1252</v>
      </c>
      <c r="K218" s="47">
        <v>1371</v>
      </c>
    </row>
    <row r="219" spans="1:11" x14ac:dyDescent="0.2">
      <c r="A219" s="46" t="s">
        <v>61</v>
      </c>
      <c r="B219" s="47">
        <v>0</v>
      </c>
      <c r="C219" s="47">
        <v>0</v>
      </c>
      <c r="D219" s="47">
        <v>0</v>
      </c>
      <c r="E219" s="47">
        <v>0</v>
      </c>
      <c r="F219" s="47">
        <v>0</v>
      </c>
      <c r="G219" s="47">
        <v>0</v>
      </c>
      <c r="H219" s="47">
        <v>0</v>
      </c>
      <c r="I219" s="47">
        <v>0</v>
      </c>
      <c r="J219" s="47">
        <v>0</v>
      </c>
      <c r="K219" s="47">
        <v>0</v>
      </c>
    </row>
    <row r="220" spans="1:11" x14ac:dyDescent="0.2">
      <c r="A220" s="46" t="s">
        <v>31</v>
      </c>
      <c r="B220" s="47">
        <v>149</v>
      </c>
      <c r="C220" s="47">
        <v>129</v>
      </c>
      <c r="D220" s="47">
        <v>130</v>
      </c>
      <c r="E220" s="47">
        <v>166</v>
      </c>
      <c r="F220" s="47">
        <v>139</v>
      </c>
      <c r="G220" s="47">
        <v>148</v>
      </c>
      <c r="H220" s="47">
        <v>156</v>
      </c>
      <c r="I220" s="47">
        <v>159</v>
      </c>
      <c r="J220" s="47">
        <v>140</v>
      </c>
      <c r="K220" s="47">
        <v>151</v>
      </c>
    </row>
    <row r="223" spans="1:11" x14ac:dyDescent="0.2">
      <c r="A223" s="44" t="s">
        <v>87</v>
      </c>
    </row>
    <row r="224" spans="1:11" x14ac:dyDescent="0.2">
      <c r="A224" s="44" t="s">
        <v>88</v>
      </c>
      <c r="B224" s="44" t="s">
        <v>89</v>
      </c>
    </row>
    <row r="226" spans="1:11" x14ac:dyDescent="0.2">
      <c r="A226" s="44" t="s">
        <v>90</v>
      </c>
      <c r="B226" s="44" t="s">
        <v>91</v>
      </c>
    </row>
    <row r="227" spans="1:11" x14ac:dyDescent="0.2">
      <c r="A227" s="44" t="s">
        <v>92</v>
      </c>
      <c r="B227" s="44" t="s">
        <v>24</v>
      </c>
    </row>
    <row r="228" spans="1:11" x14ac:dyDescent="0.2">
      <c r="A228" s="44" t="s">
        <v>94</v>
      </c>
      <c r="B228" s="44" t="s">
        <v>97</v>
      </c>
    </row>
    <row r="230" spans="1:11" x14ac:dyDescent="0.2">
      <c r="A230" s="46" t="s">
        <v>96</v>
      </c>
      <c r="B230" s="46" t="s">
        <v>46</v>
      </c>
      <c r="C230" s="46" t="s">
        <v>47</v>
      </c>
      <c r="D230" s="46" t="s">
        <v>52</v>
      </c>
      <c r="E230" s="46" t="s">
        <v>53</v>
      </c>
      <c r="F230" s="46" t="s">
        <v>54</v>
      </c>
      <c r="G230" s="46" t="s">
        <v>55</v>
      </c>
      <c r="H230" s="46" t="s">
        <v>56</v>
      </c>
      <c r="I230" s="46" t="s">
        <v>48</v>
      </c>
      <c r="J230" s="46" t="s">
        <v>49</v>
      </c>
      <c r="K230" s="46" t="s">
        <v>50</v>
      </c>
    </row>
    <row r="231" spans="1:11" x14ac:dyDescent="0.2">
      <c r="A231" s="46" t="s">
        <v>59</v>
      </c>
      <c r="B231" s="47">
        <v>26217</v>
      </c>
      <c r="C231" s="47">
        <v>26164</v>
      </c>
      <c r="D231" s="47">
        <v>26290</v>
      </c>
      <c r="E231" s="47">
        <v>31009</v>
      </c>
      <c r="F231" s="47">
        <v>26735</v>
      </c>
      <c r="G231" s="47">
        <v>26860</v>
      </c>
      <c r="H231" s="47">
        <v>26814</v>
      </c>
      <c r="I231" s="47">
        <v>23300</v>
      </c>
      <c r="J231" s="47">
        <v>24425</v>
      </c>
      <c r="K231" s="47">
        <v>25586</v>
      </c>
    </row>
    <row r="232" spans="1:11" x14ac:dyDescent="0.2">
      <c r="A232" s="46" t="s">
        <v>38</v>
      </c>
      <c r="B232" s="47">
        <v>1629</v>
      </c>
      <c r="C232" s="47">
        <v>1610</v>
      </c>
      <c r="D232" s="47">
        <v>1721</v>
      </c>
      <c r="E232" s="47">
        <v>1928</v>
      </c>
      <c r="F232" s="47">
        <v>1295</v>
      </c>
      <c r="G232" s="47">
        <v>1395</v>
      </c>
      <c r="H232" s="47">
        <v>1233</v>
      </c>
      <c r="I232" s="47">
        <v>1201</v>
      </c>
      <c r="J232" s="47">
        <v>1101</v>
      </c>
      <c r="K232" s="47">
        <v>1122</v>
      </c>
    </row>
    <row r="233" spans="1:11" x14ac:dyDescent="0.2">
      <c r="A233" s="46" t="s">
        <v>63</v>
      </c>
      <c r="B233" s="47">
        <v>1700</v>
      </c>
      <c r="C233" s="47">
        <v>1754</v>
      </c>
      <c r="D233" s="47">
        <v>2767</v>
      </c>
      <c r="E233" s="47">
        <v>3184</v>
      </c>
      <c r="F233" s="47">
        <v>2909</v>
      </c>
      <c r="G233" s="47">
        <v>1889</v>
      </c>
      <c r="H233" s="47">
        <v>1399</v>
      </c>
      <c r="I233" s="47">
        <v>1220</v>
      </c>
      <c r="J233" s="47">
        <v>1146</v>
      </c>
      <c r="K233" s="47">
        <v>1265</v>
      </c>
    </row>
    <row r="234" spans="1:11" x14ac:dyDescent="0.2">
      <c r="A234" s="46" t="s">
        <v>61</v>
      </c>
      <c r="B234" s="48" t="s">
        <v>88</v>
      </c>
      <c r="C234" s="48" t="s">
        <v>88</v>
      </c>
      <c r="D234" s="48" t="s">
        <v>88</v>
      </c>
      <c r="E234" s="48" t="s">
        <v>88</v>
      </c>
      <c r="F234" s="48" t="s">
        <v>88</v>
      </c>
      <c r="G234" s="47">
        <v>0</v>
      </c>
      <c r="H234" s="48" t="s">
        <v>88</v>
      </c>
      <c r="I234" s="48" t="s">
        <v>88</v>
      </c>
      <c r="J234" s="48" t="s">
        <v>88</v>
      </c>
      <c r="K234" s="47">
        <v>0</v>
      </c>
    </row>
    <row r="235" spans="1:11" x14ac:dyDescent="0.2">
      <c r="A235" s="46" t="s">
        <v>31</v>
      </c>
      <c r="B235" s="47">
        <v>149</v>
      </c>
      <c r="C235" s="47">
        <v>129</v>
      </c>
      <c r="D235" s="47">
        <v>130</v>
      </c>
      <c r="E235" s="47">
        <v>166</v>
      </c>
      <c r="F235" s="47">
        <v>139</v>
      </c>
      <c r="G235" s="47">
        <v>148</v>
      </c>
      <c r="H235" s="47">
        <v>156</v>
      </c>
      <c r="I235" s="47">
        <v>159</v>
      </c>
      <c r="J235" s="47">
        <v>140</v>
      </c>
      <c r="K235" s="47">
        <v>151</v>
      </c>
    </row>
    <row r="237" spans="1:11" x14ac:dyDescent="0.2">
      <c r="A237" s="44" t="s">
        <v>87</v>
      </c>
    </row>
    <row r="238" spans="1:11" x14ac:dyDescent="0.2">
      <c r="A238" s="44" t="s">
        <v>88</v>
      </c>
      <c r="B238" s="44" t="s">
        <v>89</v>
      </c>
    </row>
    <row r="240" spans="1:11" x14ac:dyDescent="0.2">
      <c r="A240" s="44" t="s">
        <v>90</v>
      </c>
      <c r="B240" s="44" t="s">
        <v>91</v>
      </c>
    </row>
    <row r="241" spans="1:13" x14ac:dyDescent="0.2">
      <c r="A241" s="44" t="s">
        <v>92</v>
      </c>
      <c r="B241" s="44" t="s">
        <v>107</v>
      </c>
    </row>
    <row r="242" spans="1:13" x14ac:dyDescent="0.2">
      <c r="A242" s="44" t="s">
        <v>94</v>
      </c>
      <c r="B242" s="44" t="s">
        <v>97</v>
      </c>
    </row>
    <row r="244" spans="1:13" x14ac:dyDescent="0.2">
      <c r="A244" s="46" t="s">
        <v>96</v>
      </c>
      <c r="B244" s="46" t="s">
        <v>46</v>
      </c>
      <c r="C244" s="46" t="s">
        <v>47</v>
      </c>
      <c r="D244" s="46" t="s">
        <v>52</v>
      </c>
      <c r="E244" s="46" t="s">
        <v>53</v>
      </c>
      <c r="F244" s="46" t="s">
        <v>54</v>
      </c>
      <c r="G244" s="46" t="s">
        <v>55</v>
      </c>
      <c r="H244" s="46" t="s">
        <v>56</v>
      </c>
      <c r="I244" s="46" t="s">
        <v>48</v>
      </c>
      <c r="J244" s="46" t="s">
        <v>49</v>
      </c>
      <c r="K244" s="46" t="s">
        <v>50</v>
      </c>
    </row>
    <row r="245" spans="1:13" ht="15" x14ac:dyDescent="0.25">
      <c r="A245" s="46" t="s">
        <v>59</v>
      </c>
      <c r="B245" s="47">
        <v>61936</v>
      </c>
      <c r="C245" s="47">
        <v>63674</v>
      </c>
      <c r="D245" s="47">
        <v>65474</v>
      </c>
      <c r="E245" s="47">
        <v>76638</v>
      </c>
      <c r="F245" s="47">
        <v>67485</v>
      </c>
      <c r="G245" s="47">
        <v>69050</v>
      </c>
      <c r="H245" s="47">
        <v>68911</v>
      </c>
      <c r="I245" s="47">
        <v>63231</v>
      </c>
      <c r="J245" s="47">
        <v>67352</v>
      </c>
      <c r="K245" s="47">
        <v>70417</v>
      </c>
      <c r="M245" s="43">
        <f>K245/B245</f>
        <v>1.1369316714027382</v>
      </c>
    </row>
    <row r="246" spans="1:13" ht="15" x14ac:dyDescent="0.25">
      <c r="A246" s="46" t="s">
        <v>38</v>
      </c>
      <c r="B246" s="47">
        <v>62316</v>
      </c>
      <c r="C246" s="47">
        <v>61830</v>
      </c>
      <c r="D246" s="47">
        <v>65570</v>
      </c>
      <c r="E246" s="47">
        <v>72882</v>
      </c>
      <c r="F246" s="47">
        <v>63212</v>
      </c>
      <c r="G246" s="47">
        <v>69523</v>
      </c>
      <c r="H246" s="47">
        <v>66917</v>
      </c>
      <c r="I246" s="47">
        <v>65837</v>
      </c>
      <c r="J246" s="47">
        <v>64715</v>
      </c>
      <c r="K246" s="47">
        <v>70539</v>
      </c>
      <c r="M246" s="43">
        <f>K246/B246</f>
        <v>1.1319564798767572</v>
      </c>
    </row>
    <row r="247" spans="1:13" ht="15" x14ac:dyDescent="0.25">
      <c r="A247" s="46" t="s">
        <v>63</v>
      </c>
      <c r="B247" s="47">
        <v>105004</v>
      </c>
      <c r="C247" s="47">
        <v>102795</v>
      </c>
      <c r="D247" s="47">
        <v>108172</v>
      </c>
      <c r="E247" s="47">
        <v>135389</v>
      </c>
      <c r="F247" s="47">
        <v>104861</v>
      </c>
      <c r="G247" s="47">
        <v>114469</v>
      </c>
      <c r="H247" s="47">
        <v>110693</v>
      </c>
      <c r="I247" s="47">
        <v>102478</v>
      </c>
      <c r="J247" s="47">
        <v>103507</v>
      </c>
      <c r="K247" s="47">
        <v>109120</v>
      </c>
      <c r="M247" s="43">
        <f>K247/B247</f>
        <v>1.0391985067235534</v>
      </c>
    </row>
    <row r="248" spans="1:13" ht="15" x14ac:dyDescent="0.25">
      <c r="A248" s="46" t="s">
        <v>61</v>
      </c>
      <c r="B248" s="47">
        <v>10868</v>
      </c>
      <c r="C248" s="47">
        <v>11275</v>
      </c>
      <c r="D248" s="47">
        <v>11251</v>
      </c>
      <c r="E248" s="47">
        <v>11186</v>
      </c>
      <c r="F248" s="47">
        <v>11155</v>
      </c>
      <c r="G248" s="47">
        <v>12466</v>
      </c>
      <c r="H248" s="47">
        <v>13056</v>
      </c>
      <c r="I248" s="47">
        <v>12419</v>
      </c>
      <c r="J248" s="47">
        <v>12798</v>
      </c>
      <c r="K248" s="47">
        <v>16213</v>
      </c>
      <c r="M248" s="43">
        <f>K248/B248</f>
        <v>1.4918108207581893</v>
      </c>
    </row>
    <row r="249" spans="1:13" ht="15" x14ac:dyDescent="0.25">
      <c r="A249" s="46" t="s">
        <v>31</v>
      </c>
      <c r="B249" s="47">
        <v>2047</v>
      </c>
      <c r="C249" s="47">
        <v>2586</v>
      </c>
      <c r="D249" s="47">
        <v>2702</v>
      </c>
      <c r="E249" s="47">
        <v>3902</v>
      </c>
      <c r="F249" s="47">
        <v>2836</v>
      </c>
      <c r="G249" s="47">
        <v>3421</v>
      </c>
      <c r="H249" s="47">
        <v>3897</v>
      </c>
      <c r="I249" s="47">
        <v>3599</v>
      </c>
      <c r="J249" s="47">
        <v>3734</v>
      </c>
      <c r="K249" s="47">
        <v>4794</v>
      </c>
      <c r="M249" s="43">
        <f>K249/B249</f>
        <v>2.3419638495359063</v>
      </c>
    </row>
    <row r="251" spans="1:13" x14ac:dyDescent="0.2">
      <c r="A251" s="44" t="s">
        <v>87</v>
      </c>
    </row>
    <row r="252" spans="1:13" x14ac:dyDescent="0.2">
      <c r="A252" s="44" t="s">
        <v>88</v>
      </c>
      <c r="B252" s="44" t="s">
        <v>89</v>
      </c>
    </row>
    <row r="254" spans="1:13" x14ac:dyDescent="0.2">
      <c r="A254" s="44" t="s">
        <v>90</v>
      </c>
      <c r="B254" s="44" t="s">
        <v>91</v>
      </c>
    </row>
    <row r="255" spans="1:13" x14ac:dyDescent="0.2">
      <c r="A255" s="44" t="s">
        <v>92</v>
      </c>
      <c r="B255" s="44" t="s">
        <v>108</v>
      </c>
    </row>
    <row r="256" spans="1:13" x14ac:dyDescent="0.2">
      <c r="A256" s="44" t="s">
        <v>94</v>
      </c>
      <c r="B256" s="44" t="s">
        <v>95</v>
      </c>
    </row>
    <row r="258" spans="1:11" x14ac:dyDescent="0.2">
      <c r="A258" s="46" t="s">
        <v>96</v>
      </c>
      <c r="B258" s="46" t="s">
        <v>46</v>
      </c>
      <c r="C258" s="46" t="s">
        <v>47</v>
      </c>
      <c r="D258" s="46" t="s">
        <v>52</v>
      </c>
      <c r="E258" s="46" t="s">
        <v>53</v>
      </c>
      <c r="F258" s="46" t="s">
        <v>54</v>
      </c>
      <c r="G258" s="46" t="s">
        <v>55</v>
      </c>
      <c r="H258" s="46" t="s">
        <v>56</v>
      </c>
      <c r="I258" s="46" t="s">
        <v>48</v>
      </c>
      <c r="J258" s="46" t="s">
        <v>49</v>
      </c>
      <c r="K258" s="46" t="s">
        <v>50</v>
      </c>
    </row>
    <row r="259" spans="1:11" x14ac:dyDescent="0.2">
      <c r="A259" s="46" t="s">
        <v>59</v>
      </c>
      <c r="B259" s="47">
        <v>134228</v>
      </c>
      <c r="C259" s="47">
        <v>135981</v>
      </c>
      <c r="D259" s="47">
        <v>138161</v>
      </c>
      <c r="E259" s="47">
        <v>164104</v>
      </c>
      <c r="F259" s="47">
        <v>167546</v>
      </c>
      <c r="G259" s="47">
        <v>175139</v>
      </c>
      <c r="H259" s="47">
        <v>181393</v>
      </c>
      <c r="I259" s="47">
        <v>189732</v>
      </c>
      <c r="J259" s="47">
        <v>201762</v>
      </c>
      <c r="K259" s="47">
        <v>209672</v>
      </c>
    </row>
    <row r="260" spans="1:11" x14ac:dyDescent="0.2">
      <c r="A260" s="46" t="s">
        <v>38</v>
      </c>
      <c r="B260" s="47">
        <v>362465</v>
      </c>
      <c r="C260" s="47">
        <v>382733</v>
      </c>
      <c r="D260" s="47">
        <v>337102</v>
      </c>
      <c r="E260" s="47">
        <v>391552</v>
      </c>
      <c r="F260" s="47">
        <v>382865</v>
      </c>
      <c r="G260" s="47">
        <v>418287</v>
      </c>
      <c r="H260" s="47">
        <v>415003</v>
      </c>
      <c r="I260" s="47">
        <v>431281</v>
      </c>
      <c r="J260" s="47">
        <v>439114</v>
      </c>
      <c r="K260" s="47">
        <v>444329</v>
      </c>
    </row>
    <row r="261" spans="1:11" x14ac:dyDescent="0.2">
      <c r="A261" s="46" t="s">
        <v>63</v>
      </c>
      <c r="B261" s="47">
        <v>636306</v>
      </c>
      <c r="C261" s="47">
        <v>653261</v>
      </c>
      <c r="D261" s="47">
        <v>662888</v>
      </c>
      <c r="E261" s="47">
        <v>711827</v>
      </c>
      <c r="F261" s="47">
        <v>683561</v>
      </c>
      <c r="G261" s="47">
        <v>774153</v>
      </c>
      <c r="H261" s="47">
        <v>710993</v>
      </c>
      <c r="I261" s="47">
        <v>724283</v>
      </c>
      <c r="J261" s="47">
        <v>799443</v>
      </c>
      <c r="K261" s="47">
        <v>765463</v>
      </c>
    </row>
    <row r="262" spans="1:11" x14ac:dyDescent="0.2">
      <c r="A262" s="46" t="s">
        <v>61</v>
      </c>
      <c r="B262" s="47">
        <v>161182</v>
      </c>
      <c r="C262" s="47">
        <v>188674</v>
      </c>
      <c r="D262" s="47">
        <v>198070</v>
      </c>
      <c r="E262" s="47">
        <v>200573</v>
      </c>
      <c r="F262" s="47">
        <v>217682</v>
      </c>
      <c r="G262" s="47">
        <v>212308</v>
      </c>
      <c r="H262" s="47">
        <v>220838</v>
      </c>
      <c r="I262" s="47">
        <v>218772</v>
      </c>
      <c r="J262" s="47">
        <v>206461</v>
      </c>
      <c r="K262" s="47">
        <v>193029</v>
      </c>
    </row>
    <row r="263" spans="1:11" x14ac:dyDescent="0.2">
      <c r="A263" s="46" t="s">
        <v>31</v>
      </c>
      <c r="B263" s="47">
        <v>536168</v>
      </c>
      <c r="C263" s="47">
        <v>559607</v>
      </c>
      <c r="D263" s="47">
        <v>509363</v>
      </c>
      <c r="E263" s="47">
        <v>490536</v>
      </c>
      <c r="F263" s="47">
        <v>503677</v>
      </c>
      <c r="G263" s="47">
        <v>579578</v>
      </c>
      <c r="H263" s="47">
        <v>527073</v>
      </c>
      <c r="I263" s="47">
        <v>544158</v>
      </c>
      <c r="J263" s="47">
        <v>556532</v>
      </c>
      <c r="K263" s="47">
        <v>583731</v>
      </c>
    </row>
    <row r="265" spans="1:11" x14ac:dyDescent="0.2">
      <c r="A265" s="44" t="s">
        <v>87</v>
      </c>
    </row>
    <row r="266" spans="1:11" x14ac:dyDescent="0.2">
      <c r="A266" s="44" t="s">
        <v>88</v>
      </c>
      <c r="B266" s="44" t="s">
        <v>89</v>
      </c>
    </row>
    <row r="268" spans="1:11" x14ac:dyDescent="0.2">
      <c r="A268" s="44" t="s">
        <v>90</v>
      </c>
      <c r="B268" s="44" t="s">
        <v>91</v>
      </c>
    </row>
    <row r="269" spans="1:11" x14ac:dyDescent="0.2">
      <c r="A269" s="44" t="s">
        <v>92</v>
      </c>
      <c r="B269" s="44" t="s">
        <v>108</v>
      </c>
    </row>
    <row r="270" spans="1:11" x14ac:dyDescent="0.2">
      <c r="A270" s="44" t="s">
        <v>94</v>
      </c>
      <c r="B270" s="44" t="s">
        <v>97</v>
      </c>
    </row>
    <row r="272" spans="1:11" x14ac:dyDescent="0.2">
      <c r="A272" s="46" t="s">
        <v>96</v>
      </c>
      <c r="B272" s="46" t="s">
        <v>46</v>
      </c>
      <c r="C272" s="46" t="s">
        <v>47</v>
      </c>
      <c r="D272" s="46" t="s">
        <v>52</v>
      </c>
      <c r="E272" s="46" t="s">
        <v>53</v>
      </c>
      <c r="F272" s="46" t="s">
        <v>54</v>
      </c>
      <c r="G272" s="46" t="s">
        <v>55</v>
      </c>
      <c r="H272" s="46" t="s">
        <v>56</v>
      </c>
      <c r="I272" s="46" t="s">
        <v>48</v>
      </c>
      <c r="J272" s="46" t="s">
        <v>49</v>
      </c>
      <c r="K272" s="46" t="s">
        <v>50</v>
      </c>
    </row>
    <row r="273" spans="1:11" x14ac:dyDescent="0.2">
      <c r="A273" s="46" t="s">
        <v>59</v>
      </c>
      <c r="B273" s="47">
        <v>38775</v>
      </c>
      <c r="C273" s="47">
        <v>37822</v>
      </c>
      <c r="D273" s="47">
        <v>37713</v>
      </c>
      <c r="E273" s="47">
        <v>40311</v>
      </c>
      <c r="F273" s="47">
        <v>36316</v>
      </c>
      <c r="G273" s="47">
        <v>35316</v>
      </c>
      <c r="H273" s="47">
        <v>36438</v>
      </c>
      <c r="I273" s="47">
        <v>35551</v>
      </c>
      <c r="J273" s="47">
        <v>41069</v>
      </c>
      <c r="K273" s="47">
        <v>43656</v>
      </c>
    </row>
    <row r="274" spans="1:11" x14ac:dyDescent="0.2">
      <c r="A274" s="46" t="s">
        <v>38</v>
      </c>
      <c r="B274" s="47">
        <v>48169</v>
      </c>
      <c r="C274" s="47">
        <v>52911</v>
      </c>
      <c r="D274" s="47">
        <v>56167</v>
      </c>
      <c r="E274" s="47">
        <v>62595</v>
      </c>
      <c r="F274" s="47">
        <v>53440</v>
      </c>
      <c r="G274" s="47">
        <v>57411</v>
      </c>
      <c r="H274" s="47">
        <v>52447</v>
      </c>
      <c r="I274" s="47">
        <v>53115</v>
      </c>
      <c r="J274" s="47">
        <v>50099</v>
      </c>
      <c r="K274" s="47">
        <v>54514</v>
      </c>
    </row>
    <row r="275" spans="1:11" x14ac:dyDescent="0.2">
      <c r="A275" s="46" t="s">
        <v>63</v>
      </c>
      <c r="B275" s="47">
        <v>25620</v>
      </c>
      <c r="C275" s="47">
        <v>28709</v>
      </c>
      <c r="D275" s="47">
        <v>29044</v>
      </c>
      <c r="E275" s="47">
        <v>29062</v>
      </c>
      <c r="F275" s="47">
        <v>49989</v>
      </c>
      <c r="G275" s="47">
        <v>51512</v>
      </c>
      <c r="H275" s="47">
        <v>42496</v>
      </c>
      <c r="I275" s="47">
        <v>40091</v>
      </c>
      <c r="J275" s="47">
        <v>40576</v>
      </c>
      <c r="K275" s="47">
        <v>40716</v>
      </c>
    </row>
    <row r="276" spans="1:11" x14ac:dyDescent="0.2">
      <c r="A276" s="46" t="s">
        <v>61</v>
      </c>
      <c r="B276" s="47">
        <v>1092</v>
      </c>
      <c r="C276" s="47">
        <v>1147</v>
      </c>
      <c r="D276" s="47">
        <v>1145</v>
      </c>
      <c r="E276" s="47">
        <v>1145</v>
      </c>
      <c r="F276" s="47">
        <v>1145</v>
      </c>
      <c r="G276" s="47">
        <v>1145</v>
      </c>
      <c r="H276" s="47">
        <v>553</v>
      </c>
      <c r="I276" s="47">
        <v>527</v>
      </c>
      <c r="J276" s="47">
        <v>527</v>
      </c>
      <c r="K276" s="47">
        <v>527</v>
      </c>
    </row>
    <row r="277" spans="1:11" x14ac:dyDescent="0.2">
      <c r="A277" s="46" t="s">
        <v>31</v>
      </c>
      <c r="B277" s="47">
        <v>24348</v>
      </c>
      <c r="C277" s="47">
        <v>25344</v>
      </c>
      <c r="D277" s="47">
        <v>26690</v>
      </c>
      <c r="E277" s="47">
        <v>30125</v>
      </c>
      <c r="F277" s="47">
        <v>26580</v>
      </c>
      <c r="G277" s="47">
        <v>27617</v>
      </c>
      <c r="H277" s="47">
        <v>22199</v>
      </c>
      <c r="I277" s="47">
        <v>19167</v>
      </c>
      <c r="J277" s="47">
        <v>20429</v>
      </c>
      <c r="K277" s="47">
        <v>20735</v>
      </c>
    </row>
    <row r="280" spans="1:11" x14ac:dyDescent="0.2">
      <c r="A280" s="44" t="s">
        <v>87</v>
      </c>
    </row>
    <row r="281" spans="1:11" x14ac:dyDescent="0.2">
      <c r="A281" s="44" t="s">
        <v>88</v>
      </c>
      <c r="B281" s="44" t="s">
        <v>89</v>
      </c>
    </row>
    <row r="283" spans="1:11" x14ac:dyDescent="0.2">
      <c r="A283" s="44" t="s">
        <v>90</v>
      </c>
      <c r="B283" s="44" t="s">
        <v>91</v>
      </c>
    </row>
    <row r="284" spans="1:11" x14ac:dyDescent="0.2">
      <c r="A284" s="44" t="s">
        <v>92</v>
      </c>
      <c r="B284" s="44" t="s">
        <v>109</v>
      </c>
    </row>
    <row r="285" spans="1:11" x14ac:dyDescent="0.2">
      <c r="A285" s="44" t="s">
        <v>94</v>
      </c>
      <c r="B285" s="44" t="s">
        <v>97</v>
      </c>
    </row>
    <row r="287" spans="1:11" x14ac:dyDescent="0.2">
      <c r="A287" s="46" t="s">
        <v>96</v>
      </c>
      <c r="B287" s="46" t="s">
        <v>46</v>
      </c>
      <c r="C287" s="46" t="s">
        <v>47</v>
      </c>
      <c r="D287" s="46" t="s">
        <v>52</v>
      </c>
      <c r="E287" s="46" t="s">
        <v>53</v>
      </c>
      <c r="F287" s="46" t="s">
        <v>54</v>
      </c>
      <c r="G287" s="46" t="s">
        <v>55</v>
      </c>
      <c r="H287" s="46" t="s">
        <v>56</v>
      </c>
      <c r="I287" s="46" t="s">
        <v>48</v>
      </c>
      <c r="J287" s="46" t="s">
        <v>49</v>
      </c>
      <c r="K287" s="46" t="s">
        <v>50</v>
      </c>
    </row>
    <row r="288" spans="1:11" x14ac:dyDescent="0.2">
      <c r="A288" s="46" t="s">
        <v>59</v>
      </c>
      <c r="B288" s="47">
        <v>358</v>
      </c>
      <c r="C288" s="47">
        <v>385</v>
      </c>
      <c r="D288" s="47">
        <v>415</v>
      </c>
      <c r="E288" s="47">
        <v>440</v>
      </c>
      <c r="F288" s="47">
        <v>440</v>
      </c>
      <c r="G288" s="47">
        <v>454</v>
      </c>
      <c r="H288" s="47">
        <v>469</v>
      </c>
      <c r="I288" s="47">
        <v>480</v>
      </c>
      <c r="J288" s="47">
        <v>494</v>
      </c>
      <c r="K288" s="47">
        <v>501</v>
      </c>
    </row>
    <row r="289" spans="1:11" x14ac:dyDescent="0.2">
      <c r="A289" s="46" t="s">
        <v>38</v>
      </c>
      <c r="B289" s="47">
        <v>26</v>
      </c>
      <c r="C289" s="47">
        <v>32</v>
      </c>
      <c r="D289" s="47">
        <v>35</v>
      </c>
      <c r="E289" s="47">
        <v>39</v>
      </c>
      <c r="F289" s="47">
        <v>43</v>
      </c>
      <c r="G289" s="47">
        <v>47</v>
      </c>
      <c r="H289" s="47">
        <v>52</v>
      </c>
      <c r="I289" s="47">
        <v>57</v>
      </c>
      <c r="J289" s="47">
        <v>62</v>
      </c>
      <c r="K289" s="47">
        <v>69</v>
      </c>
    </row>
    <row r="290" spans="1:11" x14ac:dyDescent="0.2">
      <c r="A290" s="46" t="s">
        <v>63</v>
      </c>
      <c r="B290" s="47">
        <v>360</v>
      </c>
      <c r="C290" s="47">
        <v>396</v>
      </c>
      <c r="D290" s="47">
        <v>414</v>
      </c>
      <c r="E290" s="47">
        <v>432</v>
      </c>
      <c r="F290" s="47">
        <v>461</v>
      </c>
      <c r="G290" s="47">
        <v>464</v>
      </c>
      <c r="H290" s="47">
        <v>468</v>
      </c>
      <c r="I290" s="47">
        <v>468</v>
      </c>
      <c r="J290" s="47">
        <v>472</v>
      </c>
      <c r="K290" s="47">
        <v>468</v>
      </c>
    </row>
    <row r="291" spans="1:11" x14ac:dyDescent="0.2">
      <c r="A291" s="46" t="s">
        <v>61</v>
      </c>
      <c r="B291" s="47">
        <v>0</v>
      </c>
      <c r="C291" s="47">
        <v>0</v>
      </c>
      <c r="D291" s="47">
        <v>0</v>
      </c>
      <c r="E291" s="47">
        <v>0</v>
      </c>
      <c r="F291" s="47">
        <v>0</v>
      </c>
      <c r="G291" s="47">
        <v>0</v>
      </c>
      <c r="H291" s="47">
        <v>0</v>
      </c>
      <c r="I291" s="47">
        <v>0</v>
      </c>
      <c r="J291" s="47">
        <v>0</v>
      </c>
      <c r="K291" s="47">
        <v>0</v>
      </c>
    </row>
    <row r="292" spans="1:11" x14ac:dyDescent="0.2">
      <c r="A292" s="46" t="s">
        <v>31</v>
      </c>
      <c r="B292" s="47">
        <v>0</v>
      </c>
      <c r="C292" s="47">
        <v>0</v>
      </c>
      <c r="D292" s="47">
        <v>0</v>
      </c>
      <c r="E292" s="47">
        <v>0</v>
      </c>
      <c r="F292" s="47">
        <v>0</v>
      </c>
      <c r="G292" s="47">
        <v>0</v>
      </c>
      <c r="H292" s="47">
        <v>0</v>
      </c>
      <c r="I292" s="47">
        <v>0</v>
      </c>
      <c r="J292" s="47">
        <v>0</v>
      </c>
      <c r="K292" s="47">
        <v>0</v>
      </c>
    </row>
    <row r="295" spans="1:11" x14ac:dyDescent="0.2">
      <c r="A295" s="44" t="s">
        <v>87</v>
      </c>
    </row>
    <row r="296" spans="1:11" x14ac:dyDescent="0.2">
      <c r="A296" s="44" t="s">
        <v>88</v>
      </c>
      <c r="B296" s="44" t="s">
        <v>89</v>
      </c>
    </row>
    <row r="298" spans="1:11" x14ac:dyDescent="0.2">
      <c r="A298" s="44" t="s">
        <v>90</v>
      </c>
      <c r="B298" s="44" t="s">
        <v>91</v>
      </c>
    </row>
    <row r="299" spans="1:11" x14ac:dyDescent="0.2">
      <c r="A299" s="44" t="s">
        <v>92</v>
      </c>
      <c r="B299" s="44" t="s">
        <v>110</v>
      </c>
    </row>
    <row r="300" spans="1:11" x14ac:dyDescent="0.2">
      <c r="A300" s="44" t="s">
        <v>94</v>
      </c>
      <c r="B300" s="44" t="s">
        <v>95</v>
      </c>
    </row>
    <row r="302" spans="1:11" x14ac:dyDescent="0.2">
      <c r="A302" s="46" t="s">
        <v>96</v>
      </c>
      <c r="B302" s="46" t="s">
        <v>46</v>
      </c>
      <c r="C302" s="46" t="s">
        <v>47</v>
      </c>
      <c r="D302" s="46" t="s">
        <v>52</v>
      </c>
      <c r="E302" s="46" t="s">
        <v>53</v>
      </c>
      <c r="F302" s="46" t="s">
        <v>54</v>
      </c>
      <c r="G302" s="46" t="s">
        <v>55</v>
      </c>
      <c r="H302" s="46" t="s">
        <v>56</v>
      </c>
      <c r="I302" s="46" t="s">
        <v>48</v>
      </c>
      <c r="J302" s="46" t="s">
        <v>49</v>
      </c>
      <c r="K302" s="46" t="s">
        <v>50</v>
      </c>
    </row>
    <row r="303" spans="1:11" x14ac:dyDescent="0.2">
      <c r="A303" s="46" t="s">
        <v>59</v>
      </c>
      <c r="B303" s="47">
        <v>80313</v>
      </c>
      <c r="C303" s="47">
        <v>81373</v>
      </c>
      <c r="D303" s="47">
        <v>85252</v>
      </c>
      <c r="E303" s="47">
        <v>106789</v>
      </c>
      <c r="F303" s="47">
        <v>100121</v>
      </c>
      <c r="G303" s="47">
        <v>101415</v>
      </c>
      <c r="H303" s="47">
        <v>102575</v>
      </c>
      <c r="I303" s="47">
        <v>101085</v>
      </c>
      <c r="J303" s="47">
        <v>108204</v>
      </c>
      <c r="K303" s="47">
        <v>116944</v>
      </c>
    </row>
    <row r="304" spans="1:11" x14ac:dyDescent="0.2">
      <c r="A304" s="46" t="s">
        <v>38</v>
      </c>
      <c r="B304" s="47">
        <v>303236</v>
      </c>
      <c r="C304" s="47">
        <v>309077</v>
      </c>
      <c r="D304" s="47">
        <v>273602</v>
      </c>
      <c r="E304" s="47">
        <v>325214</v>
      </c>
      <c r="F304" s="47">
        <v>319973</v>
      </c>
      <c r="G304" s="47">
        <v>333890</v>
      </c>
      <c r="H304" s="47">
        <v>339565</v>
      </c>
      <c r="I304" s="47">
        <v>340661</v>
      </c>
      <c r="J304" s="47">
        <v>331879</v>
      </c>
      <c r="K304" s="47">
        <v>348896</v>
      </c>
    </row>
    <row r="305" spans="1:11" x14ac:dyDescent="0.2">
      <c r="A305" s="46" t="s">
        <v>63</v>
      </c>
      <c r="B305" s="47">
        <v>353409</v>
      </c>
      <c r="C305" s="47">
        <v>347773</v>
      </c>
      <c r="D305" s="47">
        <v>360932</v>
      </c>
      <c r="E305" s="47">
        <v>397731</v>
      </c>
      <c r="F305" s="47">
        <v>364731</v>
      </c>
      <c r="G305" s="47">
        <v>400399</v>
      </c>
      <c r="H305" s="47">
        <v>385664</v>
      </c>
      <c r="I305" s="47">
        <v>373593</v>
      </c>
      <c r="J305" s="47">
        <v>382196</v>
      </c>
      <c r="K305" s="47">
        <v>394335</v>
      </c>
    </row>
    <row r="306" spans="1:11" x14ac:dyDescent="0.2">
      <c r="A306" s="46" t="s">
        <v>61</v>
      </c>
      <c r="B306" s="47">
        <v>0</v>
      </c>
      <c r="C306" s="47">
        <v>0</v>
      </c>
      <c r="D306" s="47">
        <v>0</v>
      </c>
      <c r="E306" s="47">
        <v>0</v>
      </c>
      <c r="F306" s="47">
        <v>0</v>
      </c>
      <c r="G306" s="47">
        <v>0</v>
      </c>
      <c r="H306" s="47">
        <v>26</v>
      </c>
      <c r="I306" s="47">
        <v>26</v>
      </c>
      <c r="J306" s="47">
        <v>27</v>
      </c>
      <c r="K306" s="47">
        <v>28</v>
      </c>
    </row>
    <row r="307" spans="1:11" x14ac:dyDescent="0.2">
      <c r="A307" s="46" t="s">
        <v>31</v>
      </c>
      <c r="B307" s="47">
        <v>45086</v>
      </c>
      <c r="C307" s="47">
        <v>46555</v>
      </c>
      <c r="D307" s="47">
        <v>44978</v>
      </c>
      <c r="E307" s="47">
        <v>52549</v>
      </c>
      <c r="F307" s="47">
        <v>51715</v>
      </c>
      <c r="G307" s="47">
        <v>48525</v>
      </c>
      <c r="H307" s="47">
        <v>44106</v>
      </c>
      <c r="I307" s="47">
        <v>34535</v>
      </c>
      <c r="J307" s="47">
        <v>37777</v>
      </c>
      <c r="K307" s="47">
        <v>37454</v>
      </c>
    </row>
    <row r="309" spans="1:11" x14ac:dyDescent="0.2">
      <c r="A309" s="44" t="s">
        <v>87</v>
      </c>
    </row>
    <row r="310" spans="1:11" x14ac:dyDescent="0.2">
      <c r="A310" s="44" t="s">
        <v>88</v>
      </c>
      <c r="B310" s="44" t="s">
        <v>89</v>
      </c>
    </row>
    <row r="312" spans="1:11" x14ac:dyDescent="0.2">
      <c r="A312" s="44" t="s">
        <v>90</v>
      </c>
      <c r="B312" s="44" t="s">
        <v>91</v>
      </c>
    </row>
    <row r="313" spans="1:11" x14ac:dyDescent="0.2">
      <c r="A313" s="44" t="s">
        <v>92</v>
      </c>
      <c r="B313" s="44" t="s">
        <v>110</v>
      </c>
    </row>
    <row r="314" spans="1:11" x14ac:dyDescent="0.2">
      <c r="A314" s="44" t="s">
        <v>94</v>
      </c>
      <c r="B314" s="44" t="s">
        <v>97</v>
      </c>
    </row>
    <row r="316" spans="1:11" x14ac:dyDescent="0.2">
      <c r="A316" s="46" t="s">
        <v>96</v>
      </c>
      <c r="B316" s="46" t="s">
        <v>46</v>
      </c>
      <c r="C316" s="46" t="s">
        <v>47</v>
      </c>
      <c r="D316" s="46" t="s">
        <v>52</v>
      </c>
      <c r="E316" s="46" t="s">
        <v>53</v>
      </c>
      <c r="F316" s="46" t="s">
        <v>54</v>
      </c>
      <c r="G316" s="46" t="s">
        <v>55</v>
      </c>
      <c r="H316" s="46" t="s">
        <v>56</v>
      </c>
      <c r="I316" s="46" t="s">
        <v>48</v>
      </c>
      <c r="J316" s="46" t="s">
        <v>49</v>
      </c>
      <c r="K316" s="46" t="s">
        <v>50</v>
      </c>
    </row>
    <row r="317" spans="1:11" x14ac:dyDescent="0.2">
      <c r="A317" s="46" t="s">
        <v>59</v>
      </c>
      <c r="B317" s="47">
        <v>38412</v>
      </c>
      <c r="C317" s="47">
        <v>37358</v>
      </c>
      <c r="D317" s="47">
        <v>37219</v>
      </c>
      <c r="E317" s="47">
        <v>39809</v>
      </c>
      <c r="F317" s="47">
        <v>35867</v>
      </c>
      <c r="G317" s="47">
        <v>34580</v>
      </c>
      <c r="H317" s="47">
        <v>35884</v>
      </c>
      <c r="I317" s="47">
        <v>34981</v>
      </c>
      <c r="J317" s="47">
        <v>40311</v>
      </c>
      <c r="K317" s="47">
        <v>42357</v>
      </c>
    </row>
    <row r="318" spans="1:11" x14ac:dyDescent="0.2">
      <c r="A318" s="46" t="s">
        <v>38</v>
      </c>
      <c r="B318" s="47">
        <v>48143</v>
      </c>
      <c r="C318" s="47">
        <v>52879</v>
      </c>
      <c r="D318" s="47">
        <v>55796</v>
      </c>
      <c r="E318" s="47">
        <v>62012</v>
      </c>
      <c r="F318" s="47">
        <v>52959</v>
      </c>
      <c r="G318" s="47">
        <v>57198</v>
      </c>
      <c r="H318" s="47">
        <v>52395</v>
      </c>
      <c r="I318" s="47">
        <v>53058</v>
      </c>
      <c r="J318" s="47">
        <v>50037</v>
      </c>
      <c r="K318" s="47">
        <v>54445</v>
      </c>
    </row>
    <row r="319" spans="1:11" x14ac:dyDescent="0.2">
      <c r="A319" s="46" t="s">
        <v>63</v>
      </c>
      <c r="B319" s="47">
        <v>25260</v>
      </c>
      <c r="C319" s="47">
        <v>25873</v>
      </c>
      <c r="D319" s="47">
        <v>25873</v>
      </c>
      <c r="E319" s="47">
        <v>25873</v>
      </c>
      <c r="F319" s="47">
        <v>49000</v>
      </c>
      <c r="G319" s="47">
        <v>49792</v>
      </c>
      <c r="H319" s="47">
        <v>40561</v>
      </c>
      <c r="I319" s="47">
        <v>37917</v>
      </c>
      <c r="J319" s="47">
        <v>38228</v>
      </c>
      <c r="K319" s="47">
        <v>38189</v>
      </c>
    </row>
    <row r="320" spans="1:11" x14ac:dyDescent="0.2">
      <c r="A320" s="46" t="s">
        <v>61</v>
      </c>
      <c r="B320" s="47">
        <v>0</v>
      </c>
      <c r="C320" s="47">
        <v>0</v>
      </c>
      <c r="D320" s="47">
        <v>0</v>
      </c>
      <c r="E320" s="47">
        <v>0</v>
      </c>
      <c r="F320" s="47">
        <v>0</v>
      </c>
      <c r="G320" s="47">
        <v>0</v>
      </c>
      <c r="H320" s="47">
        <v>0</v>
      </c>
      <c r="I320" s="47">
        <v>0</v>
      </c>
      <c r="J320" s="47">
        <v>0</v>
      </c>
      <c r="K320" s="47">
        <v>0</v>
      </c>
    </row>
    <row r="321" spans="1:11" x14ac:dyDescent="0.2">
      <c r="A321" s="46" t="s">
        <v>31</v>
      </c>
      <c r="B321" s="47">
        <v>24348</v>
      </c>
      <c r="C321" s="47">
        <v>25344</v>
      </c>
      <c r="D321" s="47">
        <v>26690</v>
      </c>
      <c r="E321" s="47">
        <v>30098</v>
      </c>
      <c r="F321" s="47">
        <v>26526</v>
      </c>
      <c r="G321" s="47">
        <v>27563</v>
      </c>
      <c r="H321" s="47">
        <v>22119</v>
      </c>
      <c r="I321" s="47">
        <v>19087</v>
      </c>
      <c r="J321" s="47">
        <v>20349</v>
      </c>
      <c r="K321" s="47">
        <v>20494</v>
      </c>
    </row>
    <row r="323" spans="1:11" x14ac:dyDescent="0.2">
      <c r="A323" s="44" t="s">
        <v>87</v>
      </c>
    </row>
    <row r="324" spans="1:11" x14ac:dyDescent="0.2">
      <c r="A324" s="44" t="s">
        <v>88</v>
      </c>
      <c r="B324" s="44" t="s">
        <v>89</v>
      </c>
    </row>
    <row r="326" spans="1:11" x14ac:dyDescent="0.2">
      <c r="A326" s="44" t="s">
        <v>90</v>
      </c>
      <c r="B326" s="44" t="s">
        <v>91</v>
      </c>
    </row>
    <row r="327" spans="1:11" x14ac:dyDescent="0.2">
      <c r="A327" s="44" t="s">
        <v>92</v>
      </c>
      <c r="B327" s="44" t="s">
        <v>111</v>
      </c>
    </row>
    <row r="328" spans="1:11" x14ac:dyDescent="0.2">
      <c r="A328" s="44" t="s">
        <v>94</v>
      </c>
      <c r="B328" s="44" t="s">
        <v>95</v>
      </c>
    </row>
    <row r="330" spans="1:11" x14ac:dyDescent="0.2">
      <c r="A330" s="46" t="s">
        <v>96</v>
      </c>
      <c r="B330" s="46" t="s">
        <v>46</v>
      </c>
      <c r="C330" s="46" t="s">
        <v>47</v>
      </c>
      <c r="D330" s="46" t="s">
        <v>52</v>
      </c>
      <c r="E330" s="46" t="s">
        <v>53</v>
      </c>
      <c r="F330" s="46" t="s">
        <v>54</v>
      </c>
      <c r="G330" s="46" t="s">
        <v>55</v>
      </c>
      <c r="H330" s="46" t="s">
        <v>56</v>
      </c>
      <c r="I330" s="46" t="s">
        <v>48</v>
      </c>
      <c r="J330" s="46" t="s">
        <v>49</v>
      </c>
      <c r="K330" s="46" t="s">
        <v>50</v>
      </c>
    </row>
    <row r="331" spans="1:11" x14ac:dyDescent="0.2">
      <c r="A331" s="46" t="s">
        <v>59</v>
      </c>
      <c r="B331" s="47">
        <v>3914</v>
      </c>
      <c r="C331" s="47">
        <v>3928</v>
      </c>
      <c r="D331" s="47">
        <v>4171</v>
      </c>
      <c r="E331" s="47">
        <v>4362</v>
      </c>
      <c r="F331" s="47">
        <v>4107</v>
      </c>
      <c r="G331" s="47">
        <v>4399</v>
      </c>
      <c r="H331" s="47">
        <v>4588</v>
      </c>
      <c r="I331" s="47">
        <v>5561</v>
      </c>
      <c r="J331" s="47">
        <v>6415</v>
      </c>
      <c r="K331" s="47">
        <v>9146</v>
      </c>
    </row>
    <row r="332" spans="1:11" x14ac:dyDescent="0.2">
      <c r="A332" s="46" t="s">
        <v>38</v>
      </c>
      <c r="B332" s="47">
        <v>1747</v>
      </c>
      <c r="C332" s="47">
        <v>1884</v>
      </c>
      <c r="D332" s="47">
        <v>1733</v>
      </c>
      <c r="E332" s="47">
        <v>1692</v>
      </c>
      <c r="F332" s="47">
        <v>2221</v>
      </c>
      <c r="G332" s="47">
        <v>2425</v>
      </c>
      <c r="H332" s="47">
        <v>3725</v>
      </c>
      <c r="I332" s="47">
        <v>4173</v>
      </c>
      <c r="J332" s="47">
        <v>4321</v>
      </c>
      <c r="K332" s="47">
        <v>4694</v>
      </c>
    </row>
    <row r="333" spans="1:11" x14ac:dyDescent="0.2">
      <c r="A333" s="46" t="s">
        <v>63</v>
      </c>
      <c r="B333" s="47">
        <v>2024</v>
      </c>
      <c r="C333" s="47">
        <v>4288</v>
      </c>
      <c r="D333" s="47">
        <v>4572</v>
      </c>
      <c r="E333" s="47">
        <v>4654</v>
      </c>
      <c r="F333" s="47">
        <v>4993</v>
      </c>
      <c r="G333" s="47">
        <v>5303</v>
      </c>
      <c r="H333" s="47">
        <v>6070</v>
      </c>
      <c r="I333" s="47">
        <v>6422</v>
      </c>
      <c r="J333" s="47">
        <v>7009</v>
      </c>
      <c r="K333" s="47">
        <v>7265</v>
      </c>
    </row>
    <row r="334" spans="1:11" x14ac:dyDescent="0.2">
      <c r="A334" s="46" t="s">
        <v>61</v>
      </c>
      <c r="B334" s="47">
        <v>11</v>
      </c>
      <c r="C334" s="47">
        <v>15</v>
      </c>
      <c r="D334" s="47">
        <v>18</v>
      </c>
      <c r="E334" s="47">
        <v>22</v>
      </c>
      <c r="F334" s="47">
        <v>48</v>
      </c>
      <c r="G334" s="47">
        <v>73</v>
      </c>
      <c r="H334" s="47">
        <v>71</v>
      </c>
      <c r="I334" s="47">
        <v>71</v>
      </c>
      <c r="J334" s="47">
        <v>69</v>
      </c>
      <c r="K334" s="47">
        <v>71</v>
      </c>
    </row>
    <row r="335" spans="1:11" x14ac:dyDescent="0.2">
      <c r="A335" s="46" t="s">
        <v>31</v>
      </c>
      <c r="B335" s="47">
        <v>1041</v>
      </c>
      <c r="C335" s="47">
        <v>1137</v>
      </c>
      <c r="D335" s="47">
        <v>1037</v>
      </c>
      <c r="E335" s="47">
        <v>700</v>
      </c>
      <c r="F335" s="47">
        <v>800</v>
      </c>
      <c r="G335" s="47">
        <v>800</v>
      </c>
      <c r="H335" s="47">
        <v>700</v>
      </c>
      <c r="I335" s="47">
        <v>600</v>
      </c>
      <c r="J335" s="47">
        <v>1100</v>
      </c>
      <c r="K335" s="47">
        <v>1200</v>
      </c>
    </row>
    <row r="337" spans="1:11" x14ac:dyDescent="0.2">
      <c r="A337" s="44" t="s">
        <v>87</v>
      </c>
    </row>
    <row r="338" spans="1:11" x14ac:dyDescent="0.2">
      <c r="A338" s="44" t="s">
        <v>88</v>
      </c>
      <c r="B338" s="44" t="s">
        <v>89</v>
      </c>
    </row>
    <row r="340" spans="1:11" x14ac:dyDescent="0.2">
      <c r="A340" s="44" t="s">
        <v>90</v>
      </c>
      <c r="B340" s="44" t="s">
        <v>91</v>
      </c>
    </row>
    <row r="341" spans="1:11" x14ac:dyDescent="0.2">
      <c r="A341" s="44" t="s">
        <v>92</v>
      </c>
      <c r="B341" s="44" t="s">
        <v>111</v>
      </c>
    </row>
    <row r="342" spans="1:11" x14ac:dyDescent="0.2">
      <c r="A342" s="44" t="s">
        <v>94</v>
      </c>
      <c r="B342" s="44" t="s">
        <v>97</v>
      </c>
    </row>
    <row r="344" spans="1:11" x14ac:dyDescent="0.2">
      <c r="A344" s="46" t="s">
        <v>96</v>
      </c>
      <c r="B344" s="46" t="s">
        <v>46</v>
      </c>
      <c r="C344" s="46" t="s">
        <v>47</v>
      </c>
      <c r="D344" s="46" t="s">
        <v>52</v>
      </c>
      <c r="E344" s="46" t="s">
        <v>53</v>
      </c>
      <c r="F344" s="46" t="s">
        <v>54</v>
      </c>
      <c r="G344" s="46" t="s">
        <v>55</v>
      </c>
      <c r="H344" s="46" t="s">
        <v>56</v>
      </c>
      <c r="I344" s="46" t="s">
        <v>48</v>
      </c>
      <c r="J344" s="46" t="s">
        <v>49</v>
      </c>
      <c r="K344" s="46" t="s">
        <v>50</v>
      </c>
    </row>
    <row r="345" spans="1:11" x14ac:dyDescent="0.2">
      <c r="A345" s="46" t="s">
        <v>59</v>
      </c>
      <c r="B345" s="47">
        <v>0</v>
      </c>
      <c r="C345" s="47">
        <v>0</v>
      </c>
      <c r="D345" s="47">
        <v>0</v>
      </c>
      <c r="E345" s="47">
        <v>0</v>
      </c>
      <c r="F345" s="47">
        <v>0</v>
      </c>
      <c r="G345" s="47">
        <v>0</v>
      </c>
      <c r="H345" s="47">
        <v>0</v>
      </c>
      <c r="I345" s="47">
        <v>81</v>
      </c>
      <c r="J345" s="47">
        <v>257</v>
      </c>
      <c r="K345" s="47">
        <v>797</v>
      </c>
    </row>
    <row r="346" spans="1:11" x14ac:dyDescent="0.2">
      <c r="A346" s="46" t="s">
        <v>38</v>
      </c>
      <c r="B346" s="47">
        <v>0</v>
      </c>
      <c r="C346" s="47">
        <v>0</v>
      </c>
      <c r="D346" s="47">
        <v>0</v>
      </c>
      <c r="E346" s="47">
        <v>0</v>
      </c>
      <c r="F346" s="47">
        <v>0</v>
      </c>
      <c r="G346" s="47">
        <v>0</v>
      </c>
      <c r="H346" s="47">
        <v>0</v>
      </c>
      <c r="I346" s="47">
        <v>0</v>
      </c>
      <c r="J346" s="47">
        <v>0</v>
      </c>
      <c r="K346" s="47">
        <v>0</v>
      </c>
    </row>
    <row r="347" spans="1:11" x14ac:dyDescent="0.2">
      <c r="A347" s="46" t="s">
        <v>63</v>
      </c>
      <c r="B347" s="47">
        <v>0</v>
      </c>
      <c r="C347" s="47">
        <v>2440</v>
      </c>
      <c r="D347" s="47">
        <v>2757</v>
      </c>
      <c r="E347" s="47">
        <v>2757</v>
      </c>
      <c r="F347" s="47">
        <v>528</v>
      </c>
      <c r="G347" s="47">
        <v>1256</v>
      </c>
      <c r="H347" s="47">
        <v>1467</v>
      </c>
      <c r="I347" s="47">
        <v>1706</v>
      </c>
      <c r="J347" s="47">
        <v>1876</v>
      </c>
      <c r="K347" s="47">
        <v>2059</v>
      </c>
    </row>
    <row r="348" spans="1:11" x14ac:dyDescent="0.2">
      <c r="A348" s="46" t="s">
        <v>61</v>
      </c>
      <c r="B348" s="47">
        <v>0</v>
      </c>
      <c r="C348" s="47">
        <v>0</v>
      </c>
      <c r="D348" s="47">
        <v>0</v>
      </c>
      <c r="E348" s="47">
        <v>0</v>
      </c>
      <c r="F348" s="47">
        <v>0</v>
      </c>
      <c r="G348" s="47">
        <v>0</v>
      </c>
      <c r="H348" s="47">
        <v>0</v>
      </c>
      <c r="I348" s="47">
        <v>0</v>
      </c>
      <c r="J348" s="47">
        <v>0</v>
      </c>
      <c r="K348" s="47">
        <v>0</v>
      </c>
    </row>
    <row r="349" spans="1:11" x14ac:dyDescent="0.2">
      <c r="A349" s="46" t="s">
        <v>31</v>
      </c>
      <c r="B349" s="47">
        <v>0</v>
      </c>
      <c r="C349" s="47">
        <v>0</v>
      </c>
      <c r="D349" s="47">
        <v>0</v>
      </c>
      <c r="E349" s="47">
        <v>0</v>
      </c>
      <c r="F349" s="47">
        <v>0</v>
      </c>
      <c r="G349" s="47">
        <v>0</v>
      </c>
      <c r="H349" s="47">
        <v>0</v>
      </c>
      <c r="I349" s="47">
        <v>0</v>
      </c>
      <c r="J349" s="47">
        <v>0</v>
      </c>
      <c r="K349" s="47">
        <v>0</v>
      </c>
    </row>
    <row r="353" spans="1:11" x14ac:dyDescent="0.2">
      <c r="A353" s="44" t="s">
        <v>87</v>
      </c>
    </row>
    <row r="354" spans="1:11" x14ac:dyDescent="0.2">
      <c r="A354" s="44" t="s">
        <v>88</v>
      </c>
      <c r="B354" s="44" t="s">
        <v>89</v>
      </c>
    </row>
    <row r="356" spans="1:11" x14ac:dyDescent="0.2">
      <c r="A356" s="44" t="s">
        <v>90</v>
      </c>
      <c r="B356" s="44" t="s">
        <v>91</v>
      </c>
    </row>
    <row r="357" spans="1:11" x14ac:dyDescent="0.2">
      <c r="A357" s="44" t="s">
        <v>92</v>
      </c>
      <c r="B357" s="44" t="s">
        <v>112</v>
      </c>
    </row>
    <row r="358" spans="1:11" x14ac:dyDescent="0.2">
      <c r="A358" s="44" t="s">
        <v>94</v>
      </c>
      <c r="B358" s="44" t="s">
        <v>97</v>
      </c>
    </row>
    <row r="360" spans="1:11" x14ac:dyDescent="0.2">
      <c r="A360" s="46" t="s">
        <v>96</v>
      </c>
      <c r="B360" s="46" t="s">
        <v>46</v>
      </c>
      <c r="C360" s="46" t="s">
        <v>47</v>
      </c>
      <c r="D360" s="46" t="s">
        <v>52</v>
      </c>
      <c r="E360" s="46" t="s">
        <v>53</v>
      </c>
      <c r="F360" s="46" t="s">
        <v>54</v>
      </c>
      <c r="G360" s="46" t="s">
        <v>55</v>
      </c>
      <c r="H360" s="46" t="s">
        <v>56</v>
      </c>
      <c r="I360" s="46" t="s">
        <v>48</v>
      </c>
      <c r="J360" s="46" t="s">
        <v>49</v>
      </c>
      <c r="K360" s="46" t="s">
        <v>50</v>
      </c>
    </row>
    <row r="361" spans="1:11" x14ac:dyDescent="0.2">
      <c r="A361" s="46" t="s">
        <v>59</v>
      </c>
      <c r="B361" s="47">
        <v>0</v>
      </c>
      <c r="C361" s="47">
        <v>0</v>
      </c>
      <c r="D361" s="47">
        <v>0</v>
      </c>
      <c r="E361" s="47">
        <v>0</v>
      </c>
      <c r="F361" s="47">
        <v>0</v>
      </c>
      <c r="G361" s="47">
        <v>0</v>
      </c>
      <c r="H361" s="47">
        <v>0</v>
      </c>
      <c r="I361" s="47">
        <v>0</v>
      </c>
      <c r="J361" s="47">
        <v>0</v>
      </c>
      <c r="K361" s="47">
        <v>0</v>
      </c>
    </row>
    <row r="362" spans="1:11" x14ac:dyDescent="0.2">
      <c r="A362" s="46" t="s">
        <v>38</v>
      </c>
      <c r="B362" s="47">
        <v>0</v>
      </c>
      <c r="C362" s="47">
        <v>0</v>
      </c>
      <c r="D362" s="47">
        <v>0</v>
      </c>
      <c r="E362" s="47">
        <v>0</v>
      </c>
      <c r="F362" s="47">
        <v>0</v>
      </c>
      <c r="G362" s="47">
        <v>0</v>
      </c>
      <c r="H362" s="47">
        <v>0</v>
      </c>
      <c r="I362" s="47">
        <v>0</v>
      </c>
      <c r="J362" s="47">
        <v>0</v>
      </c>
      <c r="K362" s="47">
        <v>0</v>
      </c>
    </row>
    <row r="363" spans="1:11" x14ac:dyDescent="0.2">
      <c r="A363" s="46" t="s">
        <v>63</v>
      </c>
      <c r="B363" s="47">
        <v>0</v>
      </c>
      <c r="C363" s="47">
        <v>0</v>
      </c>
      <c r="D363" s="47">
        <v>0</v>
      </c>
      <c r="E363" s="47">
        <v>0</v>
      </c>
      <c r="F363" s="47">
        <v>0</v>
      </c>
      <c r="G363" s="47">
        <v>0</v>
      </c>
      <c r="H363" s="47">
        <v>0</v>
      </c>
      <c r="I363" s="47">
        <v>0</v>
      </c>
      <c r="J363" s="47">
        <v>0</v>
      </c>
      <c r="K363" s="47">
        <v>0</v>
      </c>
    </row>
    <row r="364" spans="1:11" x14ac:dyDescent="0.2">
      <c r="A364" s="46" t="s">
        <v>61</v>
      </c>
      <c r="B364" s="47">
        <v>0</v>
      </c>
      <c r="C364" s="47">
        <v>0</v>
      </c>
      <c r="D364" s="47">
        <v>0</v>
      </c>
      <c r="E364" s="47">
        <v>0</v>
      </c>
      <c r="F364" s="47">
        <v>0</v>
      </c>
      <c r="G364" s="47">
        <v>0</v>
      </c>
      <c r="H364" s="47">
        <v>0</v>
      </c>
      <c r="I364" s="47">
        <v>0</v>
      </c>
      <c r="J364" s="47">
        <v>0</v>
      </c>
      <c r="K364" s="47">
        <v>0</v>
      </c>
    </row>
    <row r="365" spans="1:11" x14ac:dyDescent="0.2">
      <c r="A365" s="46" t="s">
        <v>31</v>
      </c>
      <c r="B365" s="47">
        <v>0</v>
      </c>
      <c r="C365" s="47">
        <v>0</v>
      </c>
      <c r="D365" s="47">
        <v>0</v>
      </c>
      <c r="E365" s="47">
        <v>27</v>
      </c>
      <c r="F365" s="47">
        <v>54</v>
      </c>
      <c r="G365" s="47">
        <v>54</v>
      </c>
      <c r="H365" s="47">
        <v>80</v>
      </c>
      <c r="I365" s="47">
        <v>80</v>
      </c>
      <c r="J365" s="47">
        <v>80</v>
      </c>
      <c r="K365" s="47">
        <v>241</v>
      </c>
    </row>
    <row r="368" spans="1:11" x14ac:dyDescent="0.2">
      <c r="A368" s="44" t="s">
        <v>87</v>
      </c>
    </row>
    <row r="369" spans="1:11" x14ac:dyDescent="0.2">
      <c r="A369" s="44" t="s">
        <v>88</v>
      </c>
      <c r="B369" s="44" t="s">
        <v>89</v>
      </c>
    </row>
    <row r="371" spans="1:11" x14ac:dyDescent="0.2">
      <c r="A371" s="44" t="s">
        <v>90</v>
      </c>
      <c r="B371" s="44" t="s">
        <v>91</v>
      </c>
    </row>
    <row r="372" spans="1:11" x14ac:dyDescent="0.2">
      <c r="A372" s="44" t="s">
        <v>92</v>
      </c>
      <c r="B372" s="44" t="s">
        <v>113</v>
      </c>
    </row>
    <row r="373" spans="1:11" x14ac:dyDescent="0.2">
      <c r="A373" s="44" t="s">
        <v>94</v>
      </c>
      <c r="B373" s="44" t="s">
        <v>97</v>
      </c>
    </row>
    <row r="375" spans="1:11" x14ac:dyDescent="0.2">
      <c r="A375" s="46" t="s">
        <v>96</v>
      </c>
      <c r="B375" s="46" t="s">
        <v>46</v>
      </c>
      <c r="C375" s="46" t="s">
        <v>47</v>
      </c>
      <c r="D375" s="46" t="s">
        <v>52</v>
      </c>
      <c r="E375" s="46" t="s">
        <v>53</v>
      </c>
      <c r="F375" s="46" t="s">
        <v>54</v>
      </c>
      <c r="G375" s="46" t="s">
        <v>55</v>
      </c>
      <c r="H375" s="46" t="s">
        <v>56</v>
      </c>
      <c r="I375" s="46" t="s">
        <v>48</v>
      </c>
      <c r="J375" s="46" t="s">
        <v>49</v>
      </c>
      <c r="K375" s="46" t="s">
        <v>50</v>
      </c>
    </row>
    <row r="376" spans="1:11" x14ac:dyDescent="0.2">
      <c r="A376" s="46" t="s">
        <v>59</v>
      </c>
      <c r="B376" s="47">
        <v>5</v>
      </c>
      <c r="C376" s="47">
        <v>79</v>
      </c>
      <c r="D376" s="47">
        <v>79</v>
      </c>
      <c r="E376" s="47">
        <v>62</v>
      </c>
      <c r="F376" s="47">
        <v>9</v>
      </c>
      <c r="G376" s="47">
        <v>282</v>
      </c>
      <c r="H376" s="47">
        <v>85</v>
      </c>
      <c r="I376" s="47">
        <v>9</v>
      </c>
      <c r="J376" s="47">
        <v>7</v>
      </c>
      <c r="K376" s="47">
        <v>1</v>
      </c>
    </row>
    <row r="377" spans="1:11" x14ac:dyDescent="0.2">
      <c r="A377" s="46" t="s">
        <v>38</v>
      </c>
      <c r="B377" s="47">
        <v>0</v>
      </c>
      <c r="C377" s="47">
        <v>0</v>
      </c>
      <c r="D377" s="47">
        <v>0</v>
      </c>
      <c r="E377" s="47">
        <v>0</v>
      </c>
      <c r="F377" s="47">
        <v>0</v>
      </c>
      <c r="G377" s="47">
        <v>0</v>
      </c>
      <c r="H377" s="47">
        <v>0</v>
      </c>
      <c r="I377" s="47">
        <v>0</v>
      </c>
      <c r="J377" s="47">
        <v>0</v>
      </c>
      <c r="K377" s="47">
        <v>0</v>
      </c>
    </row>
    <row r="378" spans="1:11" x14ac:dyDescent="0.2">
      <c r="A378" s="46" t="s">
        <v>63</v>
      </c>
      <c r="B378" s="47">
        <v>0</v>
      </c>
      <c r="C378" s="47">
        <v>0</v>
      </c>
      <c r="D378" s="47">
        <v>0</v>
      </c>
      <c r="E378" s="47">
        <v>0</v>
      </c>
      <c r="F378" s="47">
        <v>0</v>
      </c>
      <c r="G378" s="47">
        <v>0</v>
      </c>
      <c r="H378" s="47">
        <v>0</v>
      </c>
      <c r="I378" s="47">
        <v>0</v>
      </c>
      <c r="J378" s="47">
        <v>0</v>
      </c>
      <c r="K378" s="47">
        <v>0</v>
      </c>
    </row>
    <row r="379" spans="1:11" x14ac:dyDescent="0.2">
      <c r="A379" s="46" t="s">
        <v>61</v>
      </c>
      <c r="B379" s="47">
        <v>0</v>
      </c>
      <c r="C379" s="47">
        <v>0</v>
      </c>
      <c r="D379" s="47">
        <v>0</v>
      </c>
      <c r="E379" s="47">
        <v>0</v>
      </c>
      <c r="F379" s="47">
        <v>0</v>
      </c>
      <c r="G379" s="47">
        <v>0</v>
      </c>
      <c r="H379" s="47">
        <v>0</v>
      </c>
      <c r="I379" s="47">
        <v>0</v>
      </c>
      <c r="J379" s="47">
        <v>0</v>
      </c>
      <c r="K379" s="47">
        <v>0</v>
      </c>
    </row>
    <row r="380" spans="1:11" x14ac:dyDescent="0.2">
      <c r="A380" s="46" t="s">
        <v>31</v>
      </c>
      <c r="B380" s="47">
        <v>0</v>
      </c>
      <c r="C380" s="47">
        <v>0</v>
      </c>
      <c r="D380" s="47">
        <v>0</v>
      </c>
      <c r="E380" s="47">
        <v>0</v>
      </c>
      <c r="F380" s="47">
        <v>0</v>
      </c>
      <c r="G380" s="47">
        <v>0</v>
      </c>
      <c r="H380" s="47">
        <v>0</v>
      </c>
      <c r="I380" s="47">
        <v>0</v>
      </c>
      <c r="J380" s="47">
        <v>0</v>
      </c>
      <c r="K380" s="47">
        <v>0</v>
      </c>
    </row>
    <row r="383" spans="1:11" x14ac:dyDescent="0.2">
      <c r="A383" s="44" t="s">
        <v>87</v>
      </c>
    </row>
    <row r="384" spans="1:11" x14ac:dyDescent="0.2">
      <c r="A384" s="44" t="s">
        <v>88</v>
      </c>
      <c r="B384" s="44" t="s">
        <v>89</v>
      </c>
    </row>
    <row r="386" spans="1:11" x14ac:dyDescent="0.2">
      <c r="A386" s="44" t="s">
        <v>90</v>
      </c>
      <c r="B386" s="44" t="s">
        <v>91</v>
      </c>
    </row>
    <row r="387" spans="1:11" x14ac:dyDescent="0.2">
      <c r="A387" s="44" t="s">
        <v>92</v>
      </c>
      <c r="B387" s="44" t="s">
        <v>114</v>
      </c>
    </row>
    <row r="388" spans="1:11" x14ac:dyDescent="0.2">
      <c r="A388" s="44" t="s">
        <v>94</v>
      </c>
      <c r="B388" s="44" t="s">
        <v>97</v>
      </c>
    </row>
    <row r="390" spans="1:11" x14ac:dyDescent="0.2">
      <c r="A390" s="46" t="s">
        <v>96</v>
      </c>
      <c r="B390" s="46" t="s">
        <v>46</v>
      </c>
      <c r="C390" s="46" t="s">
        <v>47</v>
      </c>
      <c r="D390" s="46" t="s">
        <v>52</v>
      </c>
      <c r="E390" s="46" t="s">
        <v>53</v>
      </c>
      <c r="F390" s="46" t="s">
        <v>54</v>
      </c>
      <c r="G390" s="46" t="s">
        <v>55</v>
      </c>
      <c r="H390" s="46" t="s">
        <v>56</v>
      </c>
      <c r="I390" s="46" t="s">
        <v>48</v>
      </c>
      <c r="J390" s="46" t="s">
        <v>49</v>
      </c>
      <c r="K390" s="46" t="s">
        <v>50</v>
      </c>
    </row>
    <row r="391" spans="1:11" x14ac:dyDescent="0.2">
      <c r="A391" s="46" t="s">
        <v>59</v>
      </c>
      <c r="B391" s="47">
        <v>0</v>
      </c>
      <c r="C391" s="47">
        <v>0</v>
      </c>
      <c r="D391" s="47">
        <v>0</v>
      </c>
      <c r="E391" s="47">
        <v>0</v>
      </c>
      <c r="F391" s="47">
        <v>0</v>
      </c>
      <c r="G391" s="47">
        <v>0</v>
      </c>
      <c r="H391" s="47">
        <v>0</v>
      </c>
      <c r="I391" s="47">
        <v>0</v>
      </c>
      <c r="J391" s="47">
        <v>0</v>
      </c>
      <c r="K391" s="47">
        <v>0</v>
      </c>
    </row>
    <row r="392" spans="1:11" x14ac:dyDescent="0.2">
      <c r="A392" s="46" t="s">
        <v>38</v>
      </c>
      <c r="B392" s="47">
        <v>0</v>
      </c>
      <c r="C392" s="47">
        <v>0</v>
      </c>
      <c r="D392" s="47">
        <v>336</v>
      </c>
      <c r="E392" s="47">
        <v>544</v>
      </c>
      <c r="F392" s="47">
        <v>438</v>
      </c>
      <c r="G392" s="47">
        <v>166</v>
      </c>
      <c r="H392" s="47">
        <v>0</v>
      </c>
      <c r="I392" s="47">
        <v>0</v>
      </c>
      <c r="J392" s="47">
        <v>0</v>
      </c>
      <c r="K392" s="47">
        <v>0</v>
      </c>
    </row>
    <row r="393" spans="1:11" x14ac:dyDescent="0.2">
      <c r="A393" s="46" t="s">
        <v>63</v>
      </c>
      <c r="B393" s="47">
        <v>0</v>
      </c>
      <c r="C393" s="47">
        <v>0</v>
      </c>
      <c r="D393" s="47">
        <v>0</v>
      </c>
      <c r="E393" s="47">
        <v>0</v>
      </c>
      <c r="F393" s="47">
        <v>0</v>
      </c>
      <c r="G393" s="47">
        <v>0</v>
      </c>
      <c r="H393" s="47">
        <v>0</v>
      </c>
      <c r="I393" s="47">
        <v>0</v>
      </c>
      <c r="J393" s="47">
        <v>0</v>
      </c>
      <c r="K393" s="47">
        <v>0</v>
      </c>
    </row>
    <row r="394" spans="1:11" x14ac:dyDescent="0.2">
      <c r="A394" s="46" t="s">
        <v>61</v>
      </c>
      <c r="B394" s="47">
        <v>0</v>
      </c>
      <c r="C394" s="47">
        <v>0</v>
      </c>
      <c r="D394" s="47">
        <v>0</v>
      </c>
      <c r="E394" s="47">
        <v>0</v>
      </c>
      <c r="F394" s="47">
        <v>0</v>
      </c>
      <c r="G394" s="47">
        <v>0</v>
      </c>
      <c r="H394" s="47">
        <v>0</v>
      </c>
      <c r="I394" s="47">
        <v>0</v>
      </c>
      <c r="J394" s="47">
        <v>0</v>
      </c>
      <c r="K394" s="47">
        <v>0</v>
      </c>
    </row>
    <row r="395" spans="1:11" x14ac:dyDescent="0.2">
      <c r="A395" s="46" t="s">
        <v>31</v>
      </c>
      <c r="B395" s="47">
        <v>0</v>
      </c>
      <c r="C395" s="47">
        <v>0</v>
      </c>
      <c r="D395" s="47">
        <v>0</v>
      </c>
      <c r="E395" s="47">
        <v>0</v>
      </c>
      <c r="F395" s="47">
        <v>0</v>
      </c>
      <c r="G395" s="47">
        <v>0</v>
      </c>
      <c r="H395" s="47">
        <v>0</v>
      </c>
      <c r="I395" s="47">
        <v>0</v>
      </c>
      <c r="J395" s="47">
        <v>0</v>
      </c>
      <c r="K395" s="47">
        <v>0</v>
      </c>
    </row>
    <row r="399" spans="1:11" x14ac:dyDescent="0.2">
      <c r="A399" s="44" t="s">
        <v>87</v>
      </c>
    </row>
    <row r="400" spans="1:11" x14ac:dyDescent="0.2">
      <c r="A400" s="44" t="s">
        <v>88</v>
      </c>
      <c r="B400" s="44" t="s">
        <v>89</v>
      </c>
    </row>
    <row r="402" spans="1:11" x14ac:dyDescent="0.2">
      <c r="A402" s="44" t="s">
        <v>90</v>
      </c>
      <c r="B402" s="44" t="s">
        <v>91</v>
      </c>
    </row>
    <row r="403" spans="1:11" x14ac:dyDescent="0.2">
      <c r="A403" s="44" t="s">
        <v>92</v>
      </c>
      <c r="B403" s="44" t="s">
        <v>115</v>
      </c>
    </row>
    <row r="404" spans="1:11" x14ac:dyDescent="0.2">
      <c r="A404" s="44" t="s">
        <v>94</v>
      </c>
      <c r="B404" s="44" t="s">
        <v>97</v>
      </c>
    </row>
    <row r="406" spans="1:11" x14ac:dyDescent="0.2">
      <c r="A406" s="46" t="s">
        <v>96</v>
      </c>
      <c r="B406" s="46" t="s">
        <v>46</v>
      </c>
      <c r="C406" s="46" t="s">
        <v>47</v>
      </c>
      <c r="D406" s="46" t="s">
        <v>52</v>
      </c>
      <c r="E406" s="46" t="s">
        <v>53</v>
      </c>
      <c r="F406" s="46" t="s">
        <v>54</v>
      </c>
      <c r="G406" s="46" t="s">
        <v>55</v>
      </c>
      <c r="H406" s="46" t="s">
        <v>56</v>
      </c>
      <c r="I406" s="46" t="s">
        <v>48</v>
      </c>
      <c r="J406" s="46" t="s">
        <v>49</v>
      </c>
      <c r="K406" s="46" t="s">
        <v>50</v>
      </c>
    </row>
    <row r="407" spans="1:11" x14ac:dyDescent="0.2">
      <c r="A407" s="46" t="s">
        <v>59</v>
      </c>
      <c r="B407" s="47">
        <v>0</v>
      </c>
      <c r="C407" s="47">
        <v>0</v>
      </c>
      <c r="D407" s="47">
        <v>0</v>
      </c>
      <c r="E407" s="47">
        <v>0</v>
      </c>
      <c r="F407" s="47">
        <v>0</v>
      </c>
      <c r="G407" s="47">
        <v>0</v>
      </c>
      <c r="H407" s="47">
        <v>0</v>
      </c>
      <c r="I407" s="47">
        <v>0</v>
      </c>
      <c r="J407" s="47">
        <v>0</v>
      </c>
      <c r="K407" s="47">
        <v>0</v>
      </c>
    </row>
    <row r="408" spans="1:11" x14ac:dyDescent="0.2">
      <c r="A408" s="46" t="s">
        <v>38</v>
      </c>
      <c r="B408" s="47">
        <v>0</v>
      </c>
      <c r="C408" s="47">
        <v>0</v>
      </c>
      <c r="D408" s="47">
        <v>0</v>
      </c>
      <c r="E408" s="47">
        <v>0</v>
      </c>
      <c r="F408" s="47">
        <v>0</v>
      </c>
      <c r="G408" s="47">
        <v>0</v>
      </c>
      <c r="H408" s="47">
        <v>0</v>
      </c>
      <c r="I408" s="47">
        <v>0</v>
      </c>
      <c r="J408" s="47">
        <v>0</v>
      </c>
      <c r="K408" s="47">
        <v>0</v>
      </c>
    </row>
    <row r="409" spans="1:11" x14ac:dyDescent="0.2">
      <c r="A409" s="46" t="s">
        <v>63</v>
      </c>
      <c r="B409" s="47">
        <v>0</v>
      </c>
      <c r="C409" s="47">
        <v>0</v>
      </c>
      <c r="D409" s="47">
        <v>0</v>
      </c>
      <c r="E409" s="47">
        <v>0</v>
      </c>
      <c r="F409" s="47">
        <v>0</v>
      </c>
      <c r="G409" s="47">
        <v>0</v>
      </c>
      <c r="H409" s="47">
        <v>0</v>
      </c>
      <c r="I409" s="47">
        <v>0</v>
      </c>
      <c r="J409" s="47">
        <v>0</v>
      </c>
      <c r="K409" s="47">
        <v>0</v>
      </c>
    </row>
    <row r="410" spans="1:11" x14ac:dyDescent="0.2">
      <c r="A410" s="46" t="s">
        <v>61</v>
      </c>
      <c r="B410" s="47">
        <v>1092</v>
      </c>
      <c r="C410" s="47">
        <v>1147</v>
      </c>
      <c r="D410" s="47">
        <v>1145</v>
      </c>
      <c r="E410" s="47">
        <v>1145</v>
      </c>
      <c r="F410" s="47">
        <v>1145</v>
      </c>
      <c r="G410" s="47">
        <v>1145</v>
      </c>
      <c r="H410" s="47">
        <v>553</v>
      </c>
      <c r="I410" s="47">
        <v>527</v>
      </c>
      <c r="J410" s="47">
        <v>527</v>
      </c>
      <c r="K410" s="47">
        <v>527</v>
      </c>
    </row>
    <row r="411" spans="1:11" x14ac:dyDescent="0.2">
      <c r="A411" s="46" t="s">
        <v>31</v>
      </c>
      <c r="B411" s="47">
        <v>0</v>
      </c>
      <c r="C411" s="47">
        <v>0</v>
      </c>
      <c r="D411" s="47">
        <v>0</v>
      </c>
      <c r="E411" s="47">
        <v>0</v>
      </c>
      <c r="F411" s="47">
        <v>0</v>
      </c>
      <c r="G411" s="47">
        <v>0</v>
      </c>
      <c r="H411" s="47">
        <v>0</v>
      </c>
      <c r="I411" s="47">
        <v>0</v>
      </c>
      <c r="J411" s="47">
        <v>0</v>
      </c>
      <c r="K411" s="47">
        <v>0</v>
      </c>
    </row>
    <row r="414" spans="1:11" x14ac:dyDescent="0.2">
      <c r="A414" s="44" t="s">
        <v>87</v>
      </c>
    </row>
    <row r="415" spans="1:11" x14ac:dyDescent="0.2">
      <c r="A415" s="44" t="s">
        <v>88</v>
      </c>
      <c r="B415" s="44" t="s">
        <v>89</v>
      </c>
    </row>
    <row r="417" spans="1:11" x14ac:dyDescent="0.2">
      <c r="A417" s="44" t="s">
        <v>90</v>
      </c>
      <c r="B417" s="44" t="s">
        <v>91</v>
      </c>
    </row>
    <row r="418" spans="1:11" x14ac:dyDescent="0.2">
      <c r="A418" s="44" t="s">
        <v>92</v>
      </c>
      <c r="B418" s="44" t="s">
        <v>116</v>
      </c>
    </row>
    <row r="419" spans="1:11" x14ac:dyDescent="0.2">
      <c r="A419" s="44" t="s">
        <v>94</v>
      </c>
      <c r="B419" s="44" t="s">
        <v>97</v>
      </c>
    </row>
    <row r="421" spans="1:11" x14ac:dyDescent="0.2">
      <c r="A421" s="46" t="s">
        <v>96</v>
      </c>
      <c r="B421" s="46" t="s">
        <v>46</v>
      </c>
      <c r="C421" s="46" t="s">
        <v>47</v>
      </c>
      <c r="D421" s="46" t="s">
        <v>52</v>
      </c>
      <c r="E421" s="46" t="s">
        <v>53</v>
      </c>
      <c r="F421" s="46" t="s">
        <v>54</v>
      </c>
      <c r="G421" s="46" t="s">
        <v>55</v>
      </c>
      <c r="H421" s="46" t="s">
        <v>56</v>
      </c>
      <c r="I421" s="46" t="s">
        <v>48</v>
      </c>
      <c r="J421" s="46" t="s">
        <v>49</v>
      </c>
      <c r="K421" s="46" t="s">
        <v>50</v>
      </c>
    </row>
    <row r="422" spans="1:11" x14ac:dyDescent="0.2">
      <c r="A422" s="46" t="s">
        <v>59</v>
      </c>
      <c r="B422" s="47">
        <v>37256</v>
      </c>
      <c r="C422" s="47">
        <v>37008</v>
      </c>
      <c r="D422" s="47">
        <v>36346</v>
      </c>
      <c r="E422" s="47">
        <v>37400</v>
      </c>
      <c r="F422" s="47">
        <v>36400</v>
      </c>
      <c r="G422" s="47">
        <v>35960</v>
      </c>
      <c r="H422" s="47">
        <v>37105</v>
      </c>
      <c r="I422" s="47">
        <v>36374</v>
      </c>
      <c r="J422" s="47">
        <v>36637</v>
      </c>
      <c r="K422" s="47">
        <v>37066</v>
      </c>
    </row>
    <row r="423" spans="1:11" x14ac:dyDescent="0.2">
      <c r="A423" s="46" t="s">
        <v>38</v>
      </c>
      <c r="B423" s="47">
        <v>74383</v>
      </c>
      <c r="C423" s="47">
        <v>73422</v>
      </c>
      <c r="D423" s="47">
        <v>76846</v>
      </c>
      <c r="E423" s="47">
        <v>82454</v>
      </c>
      <c r="F423" s="47">
        <v>77134</v>
      </c>
      <c r="G423" s="47">
        <v>80575</v>
      </c>
      <c r="H423" s="47">
        <v>77436</v>
      </c>
      <c r="I423" s="47">
        <v>76550</v>
      </c>
      <c r="J423" s="47">
        <v>75301</v>
      </c>
      <c r="K423" s="47">
        <v>81050</v>
      </c>
    </row>
    <row r="424" spans="1:11" x14ac:dyDescent="0.2">
      <c r="A424" s="46" t="s">
        <v>63</v>
      </c>
      <c r="B424" s="47">
        <v>142697</v>
      </c>
      <c r="C424" s="47">
        <v>140144</v>
      </c>
      <c r="D424" s="47">
        <v>147406</v>
      </c>
      <c r="E424" s="47">
        <v>165535</v>
      </c>
      <c r="F424" s="47">
        <v>152474</v>
      </c>
      <c r="G424" s="47">
        <v>158072</v>
      </c>
      <c r="H424" s="47">
        <v>156614</v>
      </c>
      <c r="I424" s="47">
        <v>148680</v>
      </c>
      <c r="J424" s="47">
        <v>154753</v>
      </c>
      <c r="K424" s="47">
        <v>160268</v>
      </c>
    </row>
    <row r="425" spans="1:11" x14ac:dyDescent="0.2">
      <c r="A425" s="46" t="s">
        <v>61</v>
      </c>
      <c r="B425" s="47">
        <v>2977</v>
      </c>
      <c r="C425" s="47">
        <v>3096</v>
      </c>
      <c r="D425" s="47">
        <v>3175</v>
      </c>
      <c r="E425" s="47">
        <v>3344</v>
      </c>
      <c r="F425" s="47">
        <v>3092</v>
      </c>
      <c r="G425" s="47">
        <v>3067</v>
      </c>
      <c r="H425" s="47">
        <v>3013</v>
      </c>
      <c r="I425" s="47">
        <v>3031</v>
      </c>
      <c r="J425" s="47">
        <v>2970</v>
      </c>
      <c r="K425" s="47">
        <v>3038</v>
      </c>
    </row>
    <row r="426" spans="1:11" x14ac:dyDescent="0.2">
      <c r="A426" s="46" t="s">
        <v>31</v>
      </c>
      <c r="B426" s="47">
        <v>125813</v>
      </c>
      <c r="C426" s="47">
        <v>125600</v>
      </c>
      <c r="D426" s="47">
        <v>130727</v>
      </c>
      <c r="E426" s="47">
        <v>143035</v>
      </c>
      <c r="F426" s="47">
        <v>129812</v>
      </c>
      <c r="G426" s="47">
        <v>137700</v>
      </c>
      <c r="H426" s="47">
        <v>140054</v>
      </c>
      <c r="I426" s="47">
        <v>132786</v>
      </c>
      <c r="J426" s="47">
        <v>138946</v>
      </c>
      <c r="K426" s="47">
        <v>139565</v>
      </c>
    </row>
  </sheetData>
  <phoneticPr fontId="17" type="noConversion"/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40EDE-E881-4076-A215-EFB456525134}">
  <dimension ref="A2:CF36"/>
  <sheetViews>
    <sheetView topLeftCell="BA8" workbookViewId="0">
      <selection activeCell="BT13" sqref="BT13:BT17"/>
    </sheetView>
  </sheetViews>
  <sheetFormatPr defaultRowHeight="15" x14ac:dyDescent="0.25"/>
  <cols>
    <col min="10" max="10" width="9.140625" style="93"/>
    <col min="30" max="30" width="9.140625" style="93"/>
    <col min="53" max="53" width="9.140625" style="93"/>
  </cols>
  <sheetData>
    <row r="2" spans="1:84" s="75" customFormat="1" ht="67.5" x14ac:dyDescent="0.25">
      <c r="A2" s="67"/>
      <c r="B2" s="67"/>
      <c r="C2" s="67"/>
      <c r="D2" s="68" t="s">
        <v>155</v>
      </c>
      <c r="E2" s="68"/>
      <c r="F2" s="69">
        <v>2018</v>
      </c>
      <c r="G2" s="70"/>
      <c r="H2" s="71"/>
      <c r="I2" s="72" t="s">
        <v>32</v>
      </c>
      <c r="J2" s="89" t="s">
        <v>156</v>
      </c>
      <c r="K2" s="73" t="s">
        <v>157</v>
      </c>
      <c r="L2" s="73" t="s">
        <v>158</v>
      </c>
      <c r="M2" s="73" t="s">
        <v>159</v>
      </c>
      <c r="N2" s="73" t="s">
        <v>160</v>
      </c>
      <c r="O2" s="73" t="s">
        <v>161</v>
      </c>
      <c r="P2" s="73" t="s">
        <v>162</v>
      </c>
      <c r="Q2" s="73" t="s">
        <v>163</v>
      </c>
      <c r="R2" s="73" t="s">
        <v>164</v>
      </c>
      <c r="S2" s="73" t="s">
        <v>165</v>
      </c>
      <c r="T2" s="73" t="s">
        <v>166</v>
      </c>
      <c r="U2" s="72" t="s">
        <v>167</v>
      </c>
      <c r="V2" s="73" t="s">
        <v>168</v>
      </c>
      <c r="W2" s="73" t="s">
        <v>169</v>
      </c>
      <c r="X2" s="73" t="s">
        <v>170</v>
      </c>
      <c r="Y2" s="73" t="s">
        <v>171</v>
      </c>
      <c r="Z2" s="72" t="s">
        <v>172</v>
      </c>
      <c r="AA2" s="73" t="s">
        <v>100</v>
      </c>
      <c r="AB2" s="73" t="s">
        <v>173</v>
      </c>
      <c r="AC2" s="72" t="s">
        <v>174</v>
      </c>
      <c r="AD2" s="89" t="s">
        <v>175</v>
      </c>
      <c r="AE2" s="73" t="s">
        <v>176</v>
      </c>
      <c r="AF2" s="73" t="s">
        <v>177</v>
      </c>
      <c r="AG2" s="73" t="s">
        <v>178</v>
      </c>
      <c r="AH2" s="73" t="s">
        <v>179</v>
      </c>
      <c r="AI2" s="73" t="s">
        <v>180</v>
      </c>
      <c r="AJ2" s="73" t="s">
        <v>181</v>
      </c>
      <c r="AK2" s="73" t="s">
        <v>182</v>
      </c>
      <c r="AL2" s="73" t="s">
        <v>183</v>
      </c>
      <c r="AM2" s="74" t="s">
        <v>184</v>
      </c>
      <c r="AN2" s="73" t="s">
        <v>185</v>
      </c>
      <c r="AO2" s="73" t="s">
        <v>186</v>
      </c>
      <c r="AP2" s="74" t="s">
        <v>187</v>
      </c>
      <c r="AQ2" s="73" t="s">
        <v>104</v>
      </c>
      <c r="AR2" s="73" t="s">
        <v>188</v>
      </c>
      <c r="AS2" s="74" t="s">
        <v>189</v>
      </c>
      <c r="AT2" s="73" t="s">
        <v>190</v>
      </c>
      <c r="AU2" s="74" t="s">
        <v>191</v>
      </c>
      <c r="AV2" s="73" t="s">
        <v>192</v>
      </c>
      <c r="AW2" s="73" t="s">
        <v>193</v>
      </c>
      <c r="AX2" s="73" t="s">
        <v>194</v>
      </c>
      <c r="AY2" s="73" t="s">
        <v>195</v>
      </c>
      <c r="AZ2" s="73" t="s">
        <v>196</v>
      </c>
      <c r="BA2" s="89" t="s">
        <v>24</v>
      </c>
      <c r="BB2" s="72" t="s">
        <v>197</v>
      </c>
      <c r="BC2" s="73" t="s">
        <v>198</v>
      </c>
      <c r="BD2" s="73" t="s">
        <v>199</v>
      </c>
      <c r="BE2" s="73" t="s">
        <v>200</v>
      </c>
      <c r="BF2" s="73" t="s">
        <v>201</v>
      </c>
      <c r="BG2" s="73" t="s">
        <v>109</v>
      </c>
      <c r="BH2" s="73" t="s">
        <v>26</v>
      </c>
      <c r="BI2" s="73" t="s">
        <v>202</v>
      </c>
      <c r="BJ2" s="73" t="s">
        <v>203</v>
      </c>
      <c r="BK2" s="73" t="s">
        <v>204</v>
      </c>
      <c r="BL2" s="73" t="s">
        <v>205</v>
      </c>
      <c r="BM2" s="73" t="s">
        <v>206</v>
      </c>
      <c r="BN2" s="73" t="s">
        <v>207</v>
      </c>
      <c r="BO2" s="73" t="s">
        <v>208</v>
      </c>
      <c r="BP2" s="73" t="s">
        <v>209</v>
      </c>
      <c r="BQ2" s="73" t="s">
        <v>210</v>
      </c>
      <c r="BR2" s="73" t="s">
        <v>211</v>
      </c>
      <c r="BS2" s="73" t="s">
        <v>114</v>
      </c>
      <c r="BT2" s="73" t="s">
        <v>212</v>
      </c>
      <c r="BU2" s="72" t="s">
        <v>213</v>
      </c>
      <c r="BV2" s="73" t="s">
        <v>214</v>
      </c>
      <c r="BW2" s="73" t="s">
        <v>215</v>
      </c>
      <c r="BX2" s="72" t="s">
        <v>216</v>
      </c>
      <c r="BY2" s="72" t="s">
        <v>217</v>
      </c>
      <c r="BZ2" s="72" t="s">
        <v>27</v>
      </c>
      <c r="CE2" s="76"/>
      <c r="CF2" s="77"/>
    </row>
    <row r="3" spans="1:84" s="86" customFormat="1" ht="11.25" customHeight="1" x14ac:dyDescent="0.25">
      <c r="A3" s="78" t="s">
        <v>222</v>
      </c>
      <c r="B3" s="79" t="s">
        <v>218</v>
      </c>
      <c r="C3" s="80" t="s">
        <v>219</v>
      </c>
      <c r="D3" s="80"/>
      <c r="E3" s="80"/>
      <c r="F3" s="80"/>
      <c r="G3" s="81"/>
      <c r="H3" s="82" t="s">
        <v>220</v>
      </c>
      <c r="I3" s="83">
        <v>4619.8122169676117</v>
      </c>
      <c r="J3" s="90">
        <v>0</v>
      </c>
      <c r="K3" s="84">
        <v>0</v>
      </c>
      <c r="L3" s="84">
        <v>0</v>
      </c>
      <c r="M3" s="84">
        <v>0</v>
      </c>
      <c r="N3" s="84">
        <v>0</v>
      </c>
      <c r="O3" s="84">
        <v>0</v>
      </c>
      <c r="P3" s="84">
        <v>0</v>
      </c>
      <c r="Q3" s="84">
        <v>0</v>
      </c>
      <c r="R3" s="84">
        <v>0</v>
      </c>
      <c r="S3" s="84">
        <v>0</v>
      </c>
      <c r="T3" s="84">
        <v>0</v>
      </c>
      <c r="U3" s="83">
        <v>0</v>
      </c>
      <c r="V3" s="84">
        <v>0</v>
      </c>
      <c r="W3" s="84">
        <v>0</v>
      </c>
      <c r="X3" s="84">
        <v>0</v>
      </c>
      <c r="Y3" s="84">
        <v>0</v>
      </c>
      <c r="Z3" s="83">
        <v>0</v>
      </c>
      <c r="AA3" s="84">
        <v>0</v>
      </c>
      <c r="AB3" s="84">
        <v>0</v>
      </c>
      <c r="AC3" s="85">
        <v>0</v>
      </c>
      <c r="AD3" s="90">
        <v>221.85503009458296</v>
      </c>
      <c r="AE3" s="84">
        <v>0</v>
      </c>
      <c r="AF3" s="84">
        <v>0</v>
      </c>
      <c r="AG3" s="84" t="s">
        <v>221</v>
      </c>
      <c r="AH3" s="84" t="s">
        <v>221</v>
      </c>
      <c r="AI3" s="84" t="s">
        <v>221</v>
      </c>
      <c r="AJ3" s="84">
        <v>0</v>
      </c>
      <c r="AK3" s="84">
        <v>0</v>
      </c>
      <c r="AL3" s="84">
        <v>21.033342887169194</v>
      </c>
      <c r="AM3" s="84">
        <v>19.248022355975923</v>
      </c>
      <c r="AN3" s="84">
        <v>0</v>
      </c>
      <c r="AO3" s="84">
        <v>0</v>
      </c>
      <c r="AP3" s="84">
        <v>0</v>
      </c>
      <c r="AQ3" s="84">
        <v>2.7584909716251071</v>
      </c>
      <c r="AR3" s="84">
        <v>0</v>
      </c>
      <c r="AS3" s="84">
        <v>178.81517387981273</v>
      </c>
      <c r="AT3" s="84">
        <v>0</v>
      </c>
      <c r="AU3" s="84">
        <v>0</v>
      </c>
      <c r="AV3" s="84">
        <v>0</v>
      </c>
      <c r="AW3" s="84">
        <v>0</v>
      </c>
      <c r="AX3" s="84">
        <v>0</v>
      </c>
      <c r="AY3" s="84">
        <v>0</v>
      </c>
      <c r="AZ3" s="84">
        <v>0</v>
      </c>
      <c r="BA3" s="94">
        <v>615.05849097162513</v>
      </c>
      <c r="BB3" s="83">
        <v>1280.2314416738318</v>
      </c>
      <c r="BC3" s="84" t="s">
        <v>221</v>
      </c>
      <c r="BD3" s="84" t="s">
        <v>221</v>
      </c>
      <c r="BE3" s="84" t="s">
        <v>221</v>
      </c>
      <c r="BF3" s="84" t="s">
        <v>221</v>
      </c>
      <c r="BG3" s="84">
        <v>12.25069265310022</v>
      </c>
      <c r="BH3" s="84">
        <v>0</v>
      </c>
      <c r="BI3" s="84">
        <v>1051.2877854208464</v>
      </c>
      <c r="BJ3" s="84">
        <v>0</v>
      </c>
      <c r="BK3" s="84">
        <v>43.295810642973152</v>
      </c>
      <c r="BL3" s="84">
        <v>0</v>
      </c>
      <c r="BM3" s="84">
        <v>0</v>
      </c>
      <c r="BN3" s="84">
        <v>0</v>
      </c>
      <c r="BO3" s="84">
        <v>0</v>
      </c>
      <c r="BP3" s="84">
        <v>0</v>
      </c>
      <c r="BQ3" s="84">
        <v>0</v>
      </c>
      <c r="BR3" s="84">
        <v>0</v>
      </c>
      <c r="BS3" s="84">
        <v>0</v>
      </c>
      <c r="BT3" s="84">
        <v>173.39715295691221</v>
      </c>
      <c r="BU3" s="83">
        <v>0</v>
      </c>
      <c r="BV3" s="84">
        <v>0</v>
      </c>
      <c r="BW3" s="84">
        <v>0</v>
      </c>
      <c r="BX3" s="85" t="s">
        <v>221</v>
      </c>
      <c r="BY3" s="85">
        <v>1662.3464459730581</v>
      </c>
      <c r="BZ3" s="85">
        <v>840.3208082545143</v>
      </c>
    </row>
    <row r="4" spans="1:84" s="86" customFormat="1" ht="11.25" customHeight="1" x14ac:dyDescent="0.25">
      <c r="A4" s="78" t="s">
        <v>223</v>
      </c>
      <c r="B4" s="79" t="s">
        <v>218</v>
      </c>
      <c r="C4" s="80" t="s">
        <v>219</v>
      </c>
      <c r="D4" s="80"/>
      <c r="E4" s="80"/>
      <c r="F4" s="80"/>
      <c r="G4" s="81"/>
      <c r="H4" s="82" t="s">
        <v>220</v>
      </c>
      <c r="I4" s="83">
        <v>5691.1072179229959</v>
      </c>
      <c r="J4" s="90">
        <v>0</v>
      </c>
      <c r="K4" s="84">
        <v>0</v>
      </c>
      <c r="L4" s="84">
        <v>0</v>
      </c>
      <c r="M4" s="84">
        <v>0</v>
      </c>
      <c r="N4" s="84">
        <v>0</v>
      </c>
      <c r="O4" s="84">
        <v>0</v>
      </c>
      <c r="P4" s="84">
        <v>0</v>
      </c>
      <c r="Q4" s="84">
        <v>0</v>
      </c>
      <c r="R4" s="84">
        <v>0</v>
      </c>
      <c r="S4" s="84">
        <v>0</v>
      </c>
      <c r="T4" s="84">
        <v>0</v>
      </c>
      <c r="U4" s="83">
        <v>0</v>
      </c>
      <c r="V4" s="84">
        <v>0</v>
      </c>
      <c r="W4" s="84">
        <v>0</v>
      </c>
      <c r="X4" s="84">
        <v>0</v>
      </c>
      <c r="Y4" s="84">
        <v>0</v>
      </c>
      <c r="Z4" s="83">
        <v>3.6435941530524505</v>
      </c>
      <c r="AA4" s="84">
        <v>3.6435941530524505</v>
      </c>
      <c r="AB4" s="84">
        <v>0</v>
      </c>
      <c r="AC4" s="85">
        <v>0</v>
      </c>
      <c r="AD4" s="90">
        <v>328.95564631699625</v>
      </c>
      <c r="AE4" s="84">
        <v>0</v>
      </c>
      <c r="AF4" s="84">
        <v>0</v>
      </c>
      <c r="AG4" s="84" t="s">
        <v>221</v>
      </c>
      <c r="AH4" s="84" t="s">
        <v>221</v>
      </c>
      <c r="AI4" s="84" t="s">
        <v>221</v>
      </c>
      <c r="AJ4" s="84">
        <v>0</v>
      </c>
      <c r="AK4" s="84">
        <v>0</v>
      </c>
      <c r="AL4" s="84">
        <v>4.4234260055412244</v>
      </c>
      <c r="AM4" s="84">
        <v>43.536830037259953</v>
      </c>
      <c r="AN4" s="84">
        <v>0</v>
      </c>
      <c r="AO4" s="84">
        <v>0</v>
      </c>
      <c r="AP4" s="84">
        <v>0</v>
      </c>
      <c r="AQ4" s="84">
        <v>0</v>
      </c>
      <c r="AR4" s="84">
        <v>0</v>
      </c>
      <c r="AS4" s="84">
        <v>278.10057800706983</v>
      </c>
      <c r="AT4" s="84">
        <v>2.8948122671252503</v>
      </c>
      <c r="AU4" s="84">
        <v>0</v>
      </c>
      <c r="AV4" s="84">
        <v>0</v>
      </c>
      <c r="AW4" s="84">
        <v>0</v>
      </c>
      <c r="AX4" s="84">
        <v>0</v>
      </c>
      <c r="AY4" s="84">
        <v>0</v>
      </c>
      <c r="AZ4" s="84">
        <v>0</v>
      </c>
      <c r="BA4" s="94">
        <v>24.505588993981082</v>
      </c>
      <c r="BB4" s="83">
        <v>1769.3324734881053</v>
      </c>
      <c r="BC4" s="84" t="s">
        <v>221</v>
      </c>
      <c r="BD4" s="84" t="s">
        <v>221</v>
      </c>
      <c r="BE4" s="84" t="s">
        <v>221</v>
      </c>
      <c r="BF4" s="84" t="s">
        <v>221</v>
      </c>
      <c r="BG4" s="84">
        <v>1.9824209420082162</v>
      </c>
      <c r="BH4" s="84">
        <v>0</v>
      </c>
      <c r="BI4" s="84">
        <v>1251.3853062004393</v>
      </c>
      <c r="BJ4" s="84">
        <v>0</v>
      </c>
      <c r="BK4" s="84">
        <v>0</v>
      </c>
      <c r="BL4" s="84">
        <v>0</v>
      </c>
      <c r="BM4" s="84">
        <v>0</v>
      </c>
      <c r="BN4" s="84">
        <v>2.6371453138435084</v>
      </c>
      <c r="BO4" s="84">
        <v>0</v>
      </c>
      <c r="BP4" s="84">
        <v>0</v>
      </c>
      <c r="BQ4" s="84">
        <v>0</v>
      </c>
      <c r="BR4" s="84">
        <v>0</v>
      </c>
      <c r="BS4" s="84">
        <v>0</v>
      </c>
      <c r="BT4" s="84">
        <v>513.3276010318142</v>
      </c>
      <c r="BU4" s="83">
        <v>0</v>
      </c>
      <c r="BV4" s="84">
        <v>0</v>
      </c>
      <c r="BW4" s="84">
        <v>0</v>
      </c>
      <c r="BX4" s="85" t="s">
        <v>221</v>
      </c>
      <c r="BY4" s="85">
        <v>1610.1557275246009</v>
      </c>
      <c r="BZ4" s="85">
        <v>1954.5141874462597</v>
      </c>
    </row>
    <row r="5" spans="1:84" s="86" customFormat="1" ht="11.25" customHeight="1" x14ac:dyDescent="0.25">
      <c r="A5" s="78" t="s">
        <v>226</v>
      </c>
      <c r="B5" s="79" t="s">
        <v>218</v>
      </c>
      <c r="C5" s="80" t="s">
        <v>219</v>
      </c>
      <c r="D5" s="80"/>
      <c r="E5" s="80"/>
      <c r="F5" s="80"/>
      <c r="G5" s="81"/>
      <c r="H5" s="82" t="s">
        <v>220</v>
      </c>
      <c r="I5" s="83">
        <v>7493.0588367727141</v>
      </c>
      <c r="J5" s="90">
        <v>0</v>
      </c>
      <c r="K5" s="84">
        <v>0</v>
      </c>
      <c r="L5" s="84">
        <v>0</v>
      </c>
      <c r="M5" s="84">
        <v>0</v>
      </c>
      <c r="N5" s="84">
        <v>0</v>
      </c>
      <c r="O5" s="84">
        <v>0</v>
      </c>
      <c r="P5" s="84">
        <v>0</v>
      </c>
      <c r="Q5" s="84">
        <v>0</v>
      </c>
      <c r="R5" s="84">
        <v>0</v>
      </c>
      <c r="S5" s="84">
        <v>0</v>
      </c>
      <c r="T5" s="84">
        <v>0</v>
      </c>
      <c r="U5" s="83">
        <v>1.9776440240756663</v>
      </c>
      <c r="V5" s="84">
        <v>1.9776440240756663</v>
      </c>
      <c r="W5" s="84">
        <v>0</v>
      </c>
      <c r="X5" s="84">
        <v>0</v>
      </c>
      <c r="Y5" s="84">
        <v>0</v>
      </c>
      <c r="Z5" s="83">
        <v>0</v>
      </c>
      <c r="AA5" s="84">
        <v>0</v>
      </c>
      <c r="AB5" s="84">
        <v>0</v>
      </c>
      <c r="AC5" s="85">
        <v>0</v>
      </c>
      <c r="AD5" s="90">
        <v>188.36383013279831</v>
      </c>
      <c r="AE5" s="84">
        <v>0</v>
      </c>
      <c r="AF5" s="84">
        <v>0</v>
      </c>
      <c r="AG5" s="84" t="s">
        <v>221</v>
      </c>
      <c r="AH5" s="84" t="s">
        <v>221</v>
      </c>
      <c r="AI5" s="84" t="s">
        <v>221</v>
      </c>
      <c r="AJ5" s="84">
        <v>0</v>
      </c>
      <c r="AK5" s="84">
        <v>0</v>
      </c>
      <c r="AL5" s="84">
        <v>4.109736027515047</v>
      </c>
      <c r="AM5" s="84">
        <v>109.89677510270374</v>
      </c>
      <c r="AN5" s="84">
        <v>0</v>
      </c>
      <c r="AO5" s="84">
        <v>0</v>
      </c>
      <c r="AP5" s="84">
        <v>0</v>
      </c>
      <c r="AQ5" s="84">
        <v>0</v>
      </c>
      <c r="AR5" s="84">
        <v>0</v>
      </c>
      <c r="AS5" s="84">
        <v>74.35731900257953</v>
      </c>
      <c r="AT5" s="84">
        <v>0</v>
      </c>
      <c r="AU5" s="84">
        <v>0</v>
      </c>
      <c r="AV5" s="84">
        <v>0</v>
      </c>
      <c r="AW5" s="84">
        <v>0</v>
      </c>
      <c r="AX5" s="84">
        <v>0</v>
      </c>
      <c r="AY5" s="84">
        <v>0</v>
      </c>
      <c r="AZ5" s="84">
        <v>0</v>
      </c>
      <c r="BA5" s="94">
        <v>32.695614789337917</v>
      </c>
      <c r="BB5" s="83">
        <v>819.80200960160505</v>
      </c>
      <c r="BC5" s="84" t="s">
        <v>221</v>
      </c>
      <c r="BD5" s="84" t="s">
        <v>221</v>
      </c>
      <c r="BE5" s="84" t="s">
        <v>221</v>
      </c>
      <c r="BF5" s="84" t="s">
        <v>221</v>
      </c>
      <c r="BG5" s="84">
        <v>10.915257475876563</v>
      </c>
      <c r="BH5" s="84">
        <v>0</v>
      </c>
      <c r="BI5" s="84">
        <v>776.41635616700103</v>
      </c>
      <c r="BJ5" s="84">
        <v>0</v>
      </c>
      <c r="BK5" s="84">
        <v>16.098213432693225</v>
      </c>
      <c r="BL5" s="84">
        <v>0</v>
      </c>
      <c r="BM5" s="84">
        <v>0</v>
      </c>
      <c r="BN5" s="84">
        <v>6.9482513614216099</v>
      </c>
      <c r="BO5" s="84">
        <v>3.0131126397248496</v>
      </c>
      <c r="BP5" s="84">
        <v>6.4108185248877412</v>
      </c>
      <c r="BQ5" s="84">
        <v>0</v>
      </c>
      <c r="BR5" s="84">
        <v>0</v>
      </c>
      <c r="BS5" s="84">
        <v>0</v>
      </c>
      <c r="BT5" s="84">
        <v>0</v>
      </c>
      <c r="BU5" s="83">
        <v>0</v>
      </c>
      <c r="BV5" s="84">
        <v>0</v>
      </c>
      <c r="BW5" s="84">
        <v>0</v>
      </c>
      <c r="BX5" s="85" t="s">
        <v>221</v>
      </c>
      <c r="BY5" s="85">
        <v>2575.0692653100218</v>
      </c>
      <c r="BZ5" s="85">
        <v>3875.1504729148755</v>
      </c>
    </row>
    <row r="6" spans="1:84" s="86" customFormat="1" ht="11.25" customHeight="1" x14ac:dyDescent="0.25">
      <c r="A6" s="78" t="s">
        <v>224</v>
      </c>
      <c r="B6" s="79" t="s">
        <v>218</v>
      </c>
      <c r="C6" s="80" t="s">
        <v>219</v>
      </c>
      <c r="D6" s="80"/>
      <c r="E6" s="80"/>
      <c r="F6" s="80"/>
      <c r="G6" s="81"/>
      <c r="H6" s="82" t="s">
        <v>220</v>
      </c>
      <c r="I6" s="83">
        <v>505.34726282602463</v>
      </c>
      <c r="J6" s="90">
        <v>0</v>
      </c>
      <c r="K6" s="84">
        <v>0</v>
      </c>
      <c r="L6" s="84">
        <v>0</v>
      </c>
      <c r="M6" s="84">
        <v>0</v>
      </c>
      <c r="N6" s="84">
        <v>0</v>
      </c>
      <c r="O6" s="84">
        <v>0</v>
      </c>
      <c r="P6" s="84">
        <v>0</v>
      </c>
      <c r="Q6" s="84">
        <v>0</v>
      </c>
      <c r="R6" s="84">
        <v>0</v>
      </c>
      <c r="S6" s="84">
        <v>0</v>
      </c>
      <c r="T6" s="84">
        <v>0</v>
      </c>
      <c r="U6" s="83">
        <v>0</v>
      </c>
      <c r="V6" s="84">
        <v>0</v>
      </c>
      <c r="W6" s="84">
        <v>0</v>
      </c>
      <c r="X6" s="84">
        <v>0</v>
      </c>
      <c r="Y6" s="84">
        <v>0</v>
      </c>
      <c r="Z6" s="83">
        <v>0</v>
      </c>
      <c r="AA6" s="84">
        <v>0</v>
      </c>
      <c r="AB6" s="84">
        <v>0</v>
      </c>
      <c r="AC6" s="85">
        <v>0</v>
      </c>
      <c r="AD6" s="90">
        <v>2.5971625107480651</v>
      </c>
      <c r="AE6" s="84">
        <v>0</v>
      </c>
      <c r="AF6" s="84">
        <v>0</v>
      </c>
      <c r="AG6" s="84" t="s">
        <v>221</v>
      </c>
      <c r="AH6" s="84" t="s">
        <v>221</v>
      </c>
      <c r="AI6" s="84" t="s">
        <v>221</v>
      </c>
      <c r="AJ6" s="84">
        <v>0</v>
      </c>
      <c r="AK6" s="84">
        <v>0</v>
      </c>
      <c r="AL6" s="84">
        <v>1.7714244769274863</v>
      </c>
      <c r="AM6" s="84">
        <v>0</v>
      </c>
      <c r="AN6" s="84">
        <v>0</v>
      </c>
      <c r="AO6" s="84">
        <v>0</v>
      </c>
      <c r="AP6" s="84">
        <v>0</v>
      </c>
      <c r="AQ6" s="84">
        <v>0</v>
      </c>
      <c r="AR6" s="84">
        <v>0</v>
      </c>
      <c r="AS6" s="84">
        <v>0.82573803382057898</v>
      </c>
      <c r="AT6" s="84">
        <v>0</v>
      </c>
      <c r="AU6" s="84">
        <v>0</v>
      </c>
      <c r="AV6" s="84">
        <v>0</v>
      </c>
      <c r="AW6" s="84">
        <v>0</v>
      </c>
      <c r="AX6" s="84">
        <v>0</v>
      </c>
      <c r="AY6" s="84">
        <v>0</v>
      </c>
      <c r="AZ6" s="84">
        <v>0</v>
      </c>
      <c r="BA6" s="94">
        <v>0</v>
      </c>
      <c r="BB6" s="83">
        <v>12.061717779688545</v>
      </c>
      <c r="BC6" s="84" t="s">
        <v>221</v>
      </c>
      <c r="BD6" s="84" t="s">
        <v>221</v>
      </c>
      <c r="BE6" s="84" t="s">
        <v>221</v>
      </c>
      <c r="BF6" s="84" t="s">
        <v>221</v>
      </c>
      <c r="BG6" s="84">
        <v>0</v>
      </c>
      <c r="BH6" s="84">
        <v>12.061717779688545</v>
      </c>
      <c r="BI6" s="84">
        <v>0</v>
      </c>
      <c r="BJ6" s="84">
        <v>0</v>
      </c>
      <c r="BK6" s="84">
        <v>0</v>
      </c>
      <c r="BL6" s="84">
        <v>0</v>
      </c>
      <c r="BM6" s="84">
        <v>0</v>
      </c>
      <c r="BN6" s="84">
        <v>0</v>
      </c>
      <c r="BO6" s="84">
        <v>0</v>
      </c>
      <c r="BP6" s="84">
        <v>0</v>
      </c>
      <c r="BQ6" s="84">
        <v>0</v>
      </c>
      <c r="BR6" s="84">
        <v>0</v>
      </c>
      <c r="BS6" s="84">
        <v>0</v>
      </c>
      <c r="BT6" s="84">
        <v>0</v>
      </c>
      <c r="BU6" s="83">
        <v>0</v>
      </c>
      <c r="BV6" s="84">
        <v>0</v>
      </c>
      <c r="BW6" s="84">
        <v>0</v>
      </c>
      <c r="BX6" s="85" t="s">
        <v>221</v>
      </c>
      <c r="BY6" s="85">
        <v>417.7879526129741</v>
      </c>
      <c r="BZ6" s="85">
        <v>72.900429922613924</v>
      </c>
    </row>
    <row r="7" spans="1:84" s="86" customFormat="1" ht="11.25" customHeight="1" x14ac:dyDescent="0.25">
      <c r="A7" s="78" t="s">
        <v>225</v>
      </c>
      <c r="B7" s="79" t="s">
        <v>218</v>
      </c>
      <c r="C7" s="80" t="s">
        <v>219</v>
      </c>
      <c r="D7" s="80"/>
      <c r="E7" s="80"/>
      <c r="F7" s="80"/>
      <c r="G7" s="81"/>
      <c r="H7" s="82" t="s">
        <v>220</v>
      </c>
      <c r="I7" s="83">
        <v>4608.3243025699821</v>
      </c>
      <c r="J7" s="90">
        <v>0</v>
      </c>
      <c r="K7" s="84">
        <v>0</v>
      </c>
      <c r="L7" s="84">
        <v>0</v>
      </c>
      <c r="M7" s="84">
        <v>0</v>
      </c>
      <c r="N7" s="84">
        <v>0</v>
      </c>
      <c r="O7" s="84">
        <v>0</v>
      </c>
      <c r="P7" s="84">
        <v>0</v>
      </c>
      <c r="Q7" s="84">
        <v>0</v>
      </c>
      <c r="R7" s="84">
        <v>0</v>
      </c>
      <c r="S7" s="84">
        <v>0</v>
      </c>
      <c r="T7" s="84">
        <v>0</v>
      </c>
      <c r="U7" s="83">
        <v>0</v>
      </c>
      <c r="V7" s="84">
        <v>0</v>
      </c>
      <c r="W7" s="84">
        <v>0</v>
      </c>
      <c r="X7" s="84">
        <v>0</v>
      </c>
      <c r="Y7" s="84">
        <v>0</v>
      </c>
      <c r="Z7" s="83">
        <v>0</v>
      </c>
      <c r="AA7" s="84">
        <v>0</v>
      </c>
      <c r="AB7" s="84">
        <v>0</v>
      </c>
      <c r="AC7" s="85">
        <v>0</v>
      </c>
      <c r="AD7" s="90">
        <v>53.960064966083884</v>
      </c>
      <c r="AE7" s="84">
        <v>0</v>
      </c>
      <c r="AF7" s="84">
        <v>0</v>
      </c>
      <c r="AG7" s="84" t="s">
        <v>221</v>
      </c>
      <c r="AH7" s="84" t="s">
        <v>221</v>
      </c>
      <c r="AI7" s="84" t="s">
        <v>221</v>
      </c>
      <c r="AJ7" s="84">
        <v>0</v>
      </c>
      <c r="AK7" s="84">
        <v>0</v>
      </c>
      <c r="AL7" s="84">
        <v>6.6064775007165375</v>
      </c>
      <c r="AM7" s="84">
        <v>0</v>
      </c>
      <c r="AN7" s="84">
        <v>0</v>
      </c>
      <c r="AO7" s="84">
        <v>0</v>
      </c>
      <c r="AP7" s="84">
        <v>0</v>
      </c>
      <c r="AQ7" s="84">
        <v>9.2648323301805675</v>
      </c>
      <c r="AR7" s="84">
        <v>0</v>
      </c>
      <c r="AS7" s="84">
        <v>38.08875513518678</v>
      </c>
      <c r="AT7" s="84">
        <v>0</v>
      </c>
      <c r="AU7" s="84">
        <v>0</v>
      </c>
      <c r="AV7" s="84">
        <v>0</v>
      </c>
      <c r="AW7" s="84">
        <v>0</v>
      </c>
      <c r="AX7" s="84">
        <v>0</v>
      </c>
      <c r="AY7" s="84">
        <v>0</v>
      </c>
      <c r="AZ7" s="84">
        <v>0</v>
      </c>
      <c r="BA7" s="94">
        <v>0.7631341358555459</v>
      </c>
      <c r="BB7" s="83">
        <v>978.07874749211805</v>
      </c>
      <c r="BC7" s="84" t="s">
        <v>221</v>
      </c>
      <c r="BD7" s="84" t="s">
        <v>221</v>
      </c>
      <c r="BE7" s="84" t="s">
        <v>221</v>
      </c>
      <c r="BF7" s="84" t="s">
        <v>221</v>
      </c>
      <c r="BG7" s="84">
        <v>0</v>
      </c>
      <c r="BH7" s="84">
        <v>0</v>
      </c>
      <c r="BI7" s="84">
        <v>484.7186634183625</v>
      </c>
      <c r="BJ7" s="84">
        <v>0</v>
      </c>
      <c r="BK7" s="84">
        <v>0</v>
      </c>
      <c r="BL7" s="84">
        <v>0</v>
      </c>
      <c r="BM7" s="84">
        <v>0</v>
      </c>
      <c r="BN7" s="84">
        <v>0</v>
      </c>
      <c r="BO7" s="84">
        <v>0</v>
      </c>
      <c r="BP7" s="84">
        <v>0</v>
      </c>
      <c r="BQ7" s="84">
        <v>0</v>
      </c>
      <c r="BR7" s="84">
        <v>0</v>
      </c>
      <c r="BS7" s="84">
        <v>0</v>
      </c>
      <c r="BT7" s="84">
        <v>493.36008407375562</v>
      </c>
      <c r="BU7" s="83">
        <v>0</v>
      </c>
      <c r="BV7" s="84">
        <v>0</v>
      </c>
      <c r="BW7" s="84">
        <v>0</v>
      </c>
      <c r="BX7" s="85" t="s">
        <v>221</v>
      </c>
      <c r="BY7" s="85">
        <v>110.40369733447977</v>
      </c>
      <c r="BZ7" s="85">
        <v>3465.1186586414447</v>
      </c>
    </row>
    <row r="12" spans="1:84" ht="67.5" x14ac:dyDescent="0.25">
      <c r="A12" s="67"/>
      <c r="B12" s="67"/>
      <c r="C12" s="67"/>
      <c r="D12" s="68" t="s">
        <v>227</v>
      </c>
      <c r="E12" s="68"/>
      <c r="F12" s="69">
        <v>2018</v>
      </c>
      <c r="G12" s="70"/>
      <c r="H12" s="71"/>
      <c r="I12" s="72" t="s">
        <v>32</v>
      </c>
      <c r="J12" s="89" t="s">
        <v>156</v>
      </c>
      <c r="K12" s="73" t="s">
        <v>157</v>
      </c>
      <c r="L12" s="73" t="s">
        <v>158</v>
      </c>
      <c r="M12" s="73" t="s">
        <v>159</v>
      </c>
      <c r="N12" s="73" t="s">
        <v>160</v>
      </c>
      <c r="O12" s="73" t="s">
        <v>161</v>
      </c>
      <c r="P12" s="73" t="s">
        <v>162</v>
      </c>
      <c r="Q12" s="73" t="s">
        <v>163</v>
      </c>
      <c r="R12" s="73" t="s">
        <v>164</v>
      </c>
      <c r="S12" s="73" t="s">
        <v>165</v>
      </c>
      <c r="T12" s="73" t="s">
        <v>166</v>
      </c>
      <c r="U12" s="72" t="s">
        <v>167</v>
      </c>
      <c r="V12" s="73" t="s">
        <v>168</v>
      </c>
      <c r="W12" s="73" t="s">
        <v>169</v>
      </c>
      <c r="X12" s="73" t="s">
        <v>170</v>
      </c>
      <c r="Y12" s="73" t="s">
        <v>171</v>
      </c>
      <c r="Z12" s="72" t="s">
        <v>172</v>
      </c>
      <c r="AA12" s="73" t="s">
        <v>100</v>
      </c>
      <c r="AB12" s="73" t="s">
        <v>173</v>
      </c>
      <c r="AC12" s="72" t="s">
        <v>174</v>
      </c>
      <c r="AD12" s="89" t="s">
        <v>175</v>
      </c>
      <c r="AE12" s="73" t="s">
        <v>176</v>
      </c>
      <c r="AF12" s="73" t="s">
        <v>177</v>
      </c>
      <c r="AG12" s="73" t="s">
        <v>178</v>
      </c>
      <c r="AH12" s="73" t="s">
        <v>179</v>
      </c>
      <c r="AI12" s="73" t="s">
        <v>180</v>
      </c>
      <c r="AJ12" s="73" t="s">
        <v>181</v>
      </c>
      <c r="AK12" s="73" t="s">
        <v>182</v>
      </c>
      <c r="AL12" s="73" t="s">
        <v>183</v>
      </c>
      <c r="AM12" s="74" t="s">
        <v>184</v>
      </c>
      <c r="AN12" s="73" t="s">
        <v>185</v>
      </c>
      <c r="AO12" s="73" t="s">
        <v>186</v>
      </c>
      <c r="AP12" s="74" t="s">
        <v>187</v>
      </c>
      <c r="AQ12" s="73" t="s">
        <v>104</v>
      </c>
      <c r="AR12" s="73" t="s">
        <v>188</v>
      </c>
      <c r="AS12" s="74" t="s">
        <v>189</v>
      </c>
      <c r="AT12" s="73" t="s">
        <v>190</v>
      </c>
      <c r="AU12" s="74" t="s">
        <v>191</v>
      </c>
      <c r="AV12" s="73" t="s">
        <v>192</v>
      </c>
      <c r="AW12" s="73" t="s">
        <v>193</v>
      </c>
      <c r="AX12" s="73" t="s">
        <v>194</v>
      </c>
      <c r="AY12" s="73" t="s">
        <v>195</v>
      </c>
      <c r="AZ12" s="73" t="s">
        <v>196</v>
      </c>
      <c r="BA12" s="89" t="s">
        <v>24</v>
      </c>
      <c r="BB12" s="72" t="s">
        <v>197</v>
      </c>
      <c r="BC12" s="73" t="s">
        <v>198</v>
      </c>
      <c r="BD12" s="73" t="s">
        <v>199</v>
      </c>
      <c r="BE12" s="73" t="s">
        <v>200</v>
      </c>
      <c r="BF12" s="73" t="s">
        <v>201</v>
      </c>
      <c r="BG12" s="73" t="s">
        <v>109</v>
      </c>
      <c r="BH12" s="73" t="s">
        <v>26</v>
      </c>
      <c r="BI12" s="73" t="s">
        <v>202</v>
      </c>
      <c r="BJ12" s="73" t="s">
        <v>203</v>
      </c>
      <c r="BK12" s="73" t="s">
        <v>204</v>
      </c>
      <c r="BL12" s="73" t="s">
        <v>205</v>
      </c>
      <c r="BM12" s="73" t="s">
        <v>206</v>
      </c>
      <c r="BN12" s="73" t="s">
        <v>207</v>
      </c>
      <c r="BO12" s="73" t="s">
        <v>208</v>
      </c>
      <c r="BP12" s="73" t="s">
        <v>209</v>
      </c>
      <c r="BQ12" s="73" t="s">
        <v>210</v>
      </c>
      <c r="BR12" s="73" t="s">
        <v>211</v>
      </c>
      <c r="BS12" s="73" t="s">
        <v>114</v>
      </c>
      <c r="BT12" s="73" t="s">
        <v>212</v>
      </c>
      <c r="BU12" s="72" t="s">
        <v>213</v>
      </c>
      <c r="BV12" s="73" t="s">
        <v>214</v>
      </c>
      <c r="BW12" s="73" t="s">
        <v>215</v>
      </c>
      <c r="BX12" s="72" t="s">
        <v>216</v>
      </c>
      <c r="BY12" s="72" t="s">
        <v>217</v>
      </c>
      <c r="BZ12" s="72" t="s">
        <v>27</v>
      </c>
    </row>
    <row r="13" spans="1:84" x14ac:dyDescent="0.25">
      <c r="A13" s="78" t="s">
        <v>222</v>
      </c>
      <c r="B13" s="79" t="s">
        <v>218</v>
      </c>
      <c r="C13" s="80" t="s">
        <v>219</v>
      </c>
      <c r="D13" s="80"/>
      <c r="E13" s="80"/>
      <c r="F13" s="80"/>
      <c r="G13" s="81"/>
      <c r="H13" s="82" t="s">
        <v>220</v>
      </c>
      <c r="I13" s="35">
        <f>I3*0.041868</f>
        <v>193.42229789999999</v>
      </c>
      <c r="J13" s="91">
        <f t="shared" ref="J13:BU14" si="0">J3*0.041868</f>
        <v>0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0</v>
      </c>
      <c r="S13" s="35">
        <f t="shared" si="0"/>
        <v>0</v>
      </c>
      <c r="T13" s="35">
        <f t="shared" si="0"/>
        <v>0</v>
      </c>
      <c r="U13" s="35">
        <f t="shared" si="0"/>
        <v>0</v>
      </c>
      <c r="V13" s="35">
        <f t="shared" si="0"/>
        <v>0</v>
      </c>
      <c r="W13" s="35">
        <f t="shared" si="0"/>
        <v>0</v>
      </c>
      <c r="X13" s="35">
        <f t="shared" si="0"/>
        <v>0</v>
      </c>
      <c r="Y13" s="35">
        <f t="shared" si="0"/>
        <v>0</v>
      </c>
      <c r="Z13" s="35">
        <f t="shared" si="0"/>
        <v>0</v>
      </c>
      <c r="AA13" s="35">
        <f t="shared" si="0"/>
        <v>0</v>
      </c>
      <c r="AB13" s="35">
        <f t="shared" si="0"/>
        <v>0</v>
      </c>
      <c r="AC13" s="35">
        <f t="shared" si="0"/>
        <v>0</v>
      </c>
      <c r="AD13" s="91">
        <f t="shared" si="0"/>
        <v>9.2886264000000001</v>
      </c>
      <c r="AE13" s="35">
        <f t="shared" si="0"/>
        <v>0</v>
      </c>
      <c r="AF13" s="35">
        <f t="shared" si="0"/>
        <v>0</v>
      </c>
      <c r="AG13" s="35" t="e">
        <f t="shared" si="0"/>
        <v>#VALUE!</v>
      </c>
      <c r="AH13" s="35" t="e">
        <f t="shared" si="0"/>
        <v>#VALUE!</v>
      </c>
      <c r="AI13" s="35" t="e">
        <f t="shared" si="0"/>
        <v>#VALUE!</v>
      </c>
      <c r="AJ13" s="35">
        <f t="shared" si="0"/>
        <v>0</v>
      </c>
      <c r="AK13" s="35">
        <f t="shared" si="0"/>
        <v>0</v>
      </c>
      <c r="AL13" s="35">
        <f t="shared" si="0"/>
        <v>0.88062399999999985</v>
      </c>
      <c r="AM13" s="35">
        <f t="shared" si="0"/>
        <v>0.80587620000000004</v>
      </c>
      <c r="AN13" s="35">
        <f t="shared" si="0"/>
        <v>0</v>
      </c>
      <c r="AO13" s="35">
        <f t="shared" si="0"/>
        <v>0</v>
      </c>
      <c r="AP13" s="35">
        <f t="shared" si="0"/>
        <v>0</v>
      </c>
      <c r="AQ13" s="35">
        <f t="shared" si="0"/>
        <v>0.1154925</v>
      </c>
      <c r="AR13" s="35">
        <f t="shared" si="0"/>
        <v>0</v>
      </c>
      <c r="AS13" s="35">
        <f t="shared" si="0"/>
        <v>7.4866336999999996</v>
      </c>
      <c r="AT13" s="35">
        <f t="shared" si="0"/>
        <v>0</v>
      </c>
      <c r="AU13" s="35">
        <f t="shared" si="0"/>
        <v>0</v>
      </c>
      <c r="AV13" s="35">
        <f t="shared" si="0"/>
        <v>0</v>
      </c>
      <c r="AW13" s="35">
        <f t="shared" si="0"/>
        <v>0</v>
      </c>
      <c r="AX13" s="35">
        <f t="shared" si="0"/>
        <v>0</v>
      </c>
      <c r="AY13" s="35">
        <f t="shared" si="0"/>
        <v>0</v>
      </c>
      <c r="AZ13" s="35">
        <f t="shared" si="0"/>
        <v>0</v>
      </c>
      <c r="BA13" s="91">
        <f t="shared" si="0"/>
        <v>25.751268900000003</v>
      </c>
      <c r="BB13" s="35">
        <f t="shared" si="0"/>
        <v>53.600729999999992</v>
      </c>
      <c r="BC13" s="35" t="e">
        <f t="shared" si="0"/>
        <v>#VALUE!</v>
      </c>
      <c r="BD13" s="35" t="e">
        <f t="shared" si="0"/>
        <v>#VALUE!</v>
      </c>
      <c r="BE13" s="35" t="e">
        <f t="shared" si="0"/>
        <v>#VALUE!</v>
      </c>
      <c r="BF13" s="35" t="e">
        <f t="shared" si="0"/>
        <v>#VALUE!</v>
      </c>
      <c r="BG13" s="35">
        <f t="shared" si="0"/>
        <v>0.51291200000000003</v>
      </c>
      <c r="BH13" s="35">
        <f t="shared" si="0"/>
        <v>0</v>
      </c>
      <c r="BI13" s="35">
        <f t="shared" si="0"/>
        <v>44.015316999999996</v>
      </c>
      <c r="BJ13" s="35">
        <f t="shared" si="0"/>
        <v>0</v>
      </c>
      <c r="BK13" s="35">
        <f t="shared" si="0"/>
        <v>1.8127089999999999</v>
      </c>
      <c r="BL13" s="35">
        <f t="shared" si="0"/>
        <v>0</v>
      </c>
      <c r="BM13" s="35">
        <f t="shared" si="0"/>
        <v>0</v>
      </c>
      <c r="BN13" s="35">
        <f t="shared" si="0"/>
        <v>0</v>
      </c>
      <c r="BO13" s="35">
        <f t="shared" si="0"/>
        <v>0</v>
      </c>
      <c r="BP13" s="35">
        <f t="shared" si="0"/>
        <v>0</v>
      </c>
      <c r="BQ13" s="35">
        <f t="shared" si="0"/>
        <v>0</v>
      </c>
      <c r="BR13" s="35">
        <f t="shared" si="0"/>
        <v>0</v>
      </c>
      <c r="BS13" s="35">
        <f t="shared" si="0"/>
        <v>0</v>
      </c>
      <c r="BT13" s="35">
        <f t="shared" si="0"/>
        <v>7.2597920000000009</v>
      </c>
      <c r="BU13" s="35">
        <f t="shared" si="0"/>
        <v>0</v>
      </c>
      <c r="BV13" s="35">
        <f t="shared" ref="BV13:BZ14" si="1">BV3*0.041868</f>
        <v>0</v>
      </c>
      <c r="BW13" s="35">
        <f t="shared" si="1"/>
        <v>0</v>
      </c>
      <c r="BX13" s="35" t="e">
        <f t="shared" si="1"/>
        <v>#VALUE!</v>
      </c>
      <c r="BY13" s="35">
        <f t="shared" si="1"/>
        <v>69.599120999999997</v>
      </c>
      <c r="BZ13" s="35">
        <f t="shared" si="1"/>
        <v>35.182551600000004</v>
      </c>
    </row>
    <row r="14" spans="1:84" x14ac:dyDescent="0.25">
      <c r="A14" s="78" t="s">
        <v>223</v>
      </c>
      <c r="B14" s="79" t="s">
        <v>218</v>
      </c>
      <c r="C14" s="80" t="s">
        <v>219</v>
      </c>
      <c r="D14" s="80"/>
      <c r="E14" s="80"/>
      <c r="F14" s="80"/>
      <c r="G14" s="81"/>
      <c r="H14" s="82" t="s">
        <v>220</v>
      </c>
      <c r="I14" s="35">
        <f t="shared" ref="I14:X14" si="2">I4*0.041868</f>
        <v>238.27527700000002</v>
      </c>
      <c r="J14" s="91">
        <f t="shared" si="2"/>
        <v>0</v>
      </c>
      <c r="K14" s="35">
        <f t="shared" si="2"/>
        <v>0</v>
      </c>
      <c r="L14" s="35">
        <f t="shared" si="2"/>
        <v>0</v>
      </c>
      <c r="M14" s="35">
        <f t="shared" si="2"/>
        <v>0</v>
      </c>
      <c r="N14" s="35">
        <f t="shared" si="2"/>
        <v>0</v>
      </c>
      <c r="O14" s="35">
        <f t="shared" si="2"/>
        <v>0</v>
      </c>
      <c r="P14" s="35">
        <f t="shared" si="2"/>
        <v>0</v>
      </c>
      <c r="Q14" s="35">
        <f t="shared" si="2"/>
        <v>0</v>
      </c>
      <c r="R14" s="35">
        <f t="shared" si="2"/>
        <v>0</v>
      </c>
      <c r="S14" s="35">
        <f t="shared" si="2"/>
        <v>0</v>
      </c>
      <c r="T14" s="35">
        <f t="shared" si="2"/>
        <v>0</v>
      </c>
      <c r="U14" s="35">
        <f t="shared" si="2"/>
        <v>0</v>
      </c>
      <c r="V14" s="35">
        <f t="shared" si="2"/>
        <v>0</v>
      </c>
      <c r="W14" s="35">
        <f t="shared" si="2"/>
        <v>0</v>
      </c>
      <c r="X14" s="35">
        <f t="shared" si="2"/>
        <v>0</v>
      </c>
      <c r="Y14" s="35">
        <f t="shared" si="0"/>
        <v>0</v>
      </c>
      <c r="Z14" s="35">
        <f t="shared" si="0"/>
        <v>0.15255000000000002</v>
      </c>
      <c r="AA14" s="35">
        <f t="shared" si="0"/>
        <v>0.15255000000000002</v>
      </c>
      <c r="AB14" s="35">
        <f t="shared" si="0"/>
        <v>0</v>
      </c>
      <c r="AC14" s="35">
        <f t="shared" si="0"/>
        <v>0</v>
      </c>
      <c r="AD14" s="91">
        <f t="shared" si="0"/>
        <v>13.772715</v>
      </c>
      <c r="AE14" s="35">
        <f t="shared" si="0"/>
        <v>0</v>
      </c>
      <c r="AF14" s="35">
        <f t="shared" si="0"/>
        <v>0</v>
      </c>
      <c r="AG14" s="35" t="e">
        <f t="shared" si="0"/>
        <v>#VALUE!</v>
      </c>
      <c r="AH14" s="35" t="e">
        <f t="shared" si="0"/>
        <v>#VALUE!</v>
      </c>
      <c r="AI14" s="35" t="e">
        <f t="shared" si="0"/>
        <v>#VALUE!</v>
      </c>
      <c r="AJ14" s="35">
        <f t="shared" si="0"/>
        <v>0</v>
      </c>
      <c r="AK14" s="35">
        <f t="shared" si="0"/>
        <v>0</v>
      </c>
      <c r="AL14" s="35">
        <f t="shared" si="0"/>
        <v>0.1852</v>
      </c>
      <c r="AM14" s="35">
        <f t="shared" si="0"/>
        <v>1.8227999999999998</v>
      </c>
      <c r="AN14" s="35">
        <f t="shared" si="0"/>
        <v>0</v>
      </c>
      <c r="AO14" s="35">
        <f t="shared" si="0"/>
        <v>0</v>
      </c>
      <c r="AP14" s="35">
        <f t="shared" si="0"/>
        <v>0</v>
      </c>
      <c r="AQ14" s="35">
        <f t="shared" si="0"/>
        <v>0</v>
      </c>
      <c r="AR14" s="35">
        <f t="shared" si="0"/>
        <v>0</v>
      </c>
      <c r="AS14" s="35">
        <f t="shared" si="0"/>
        <v>11.643515000000001</v>
      </c>
      <c r="AT14" s="35">
        <f t="shared" si="0"/>
        <v>0.12119999999999999</v>
      </c>
      <c r="AU14" s="35">
        <f t="shared" si="0"/>
        <v>0</v>
      </c>
      <c r="AV14" s="35">
        <f t="shared" si="0"/>
        <v>0</v>
      </c>
      <c r="AW14" s="35">
        <f t="shared" si="0"/>
        <v>0</v>
      </c>
      <c r="AX14" s="35">
        <f t="shared" si="0"/>
        <v>0</v>
      </c>
      <c r="AY14" s="35">
        <f t="shared" si="0"/>
        <v>0</v>
      </c>
      <c r="AZ14" s="35">
        <f t="shared" si="0"/>
        <v>0</v>
      </c>
      <c r="BA14" s="91">
        <f t="shared" si="0"/>
        <v>1.026</v>
      </c>
      <c r="BB14" s="35">
        <f t="shared" si="0"/>
        <v>74.078412</v>
      </c>
      <c r="BC14" s="35" t="e">
        <f t="shared" si="0"/>
        <v>#VALUE!</v>
      </c>
      <c r="BD14" s="35" t="e">
        <f t="shared" si="0"/>
        <v>#VALUE!</v>
      </c>
      <c r="BE14" s="35" t="e">
        <f t="shared" si="0"/>
        <v>#VALUE!</v>
      </c>
      <c r="BF14" s="35" t="e">
        <f t="shared" si="0"/>
        <v>#VALUE!</v>
      </c>
      <c r="BG14" s="35">
        <f t="shared" si="0"/>
        <v>8.3000000000000004E-2</v>
      </c>
      <c r="BH14" s="35">
        <f t="shared" si="0"/>
        <v>0</v>
      </c>
      <c r="BI14" s="35">
        <f t="shared" si="0"/>
        <v>52.393000000000001</v>
      </c>
      <c r="BJ14" s="35">
        <f t="shared" si="0"/>
        <v>0</v>
      </c>
      <c r="BK14" s="35">
        <f t="shared" si="0"/>
        <v>0</v>
      </c>
      <c r="BL14" s="35">
        <f t="shared" si="0"/>
        <v>0</v>
      </c>
      <c r="BM14" s="35">
        <f t="shared" si="0"/>
        <v>0</v>
      </c>
      <c r="BN14" s="35">
        <f t="shared" si="0"/>
        <v>0.11041200000000001</v>
      </c>
      <c r="BO14" s="35">
        <f t="shared" si="0"/>
        <v>0</v>
      </c>
      <c r="BP14" s="35">
        <f t="shared" si="0"/>
        <v>0</v>
      </c>
      <c r="BQ14" s="35">
        <f t="shared" si="0"/>
        <v>0</v>
      </c>
      <c r="BR14" s="35">
        <f t="shared" si="0"/>
        <v>0</v>
      </c>
      <c r="BS14" s="35">
        <f t="shared" si="0"/>
        <v>0</v>
      </c>
      <c r="BT14" s="35">
        <f t="shared" si="0"/>
        <v>21.491999999999997</v>
      </c>
      <c r="BU14" s="35">
        <f t="shared" si="0"/>
        <v>0</v>
      </c>
      <c r="BV14" s="35">
        <f t="shared" si="1"/>
        <v>0</v>
      </c>
      <c r="BW14" s="35">
        <f t="shared" si="1"/>
        <v>0</v>
      </c>
      <c r="BX14" s="35" t="e">
        <f t="shared" si="1"/>
        <v>#VALUE!</v>
      </c>
      <c r="BY14" s="35">
        <f t="shared" si="1"/>
        <v>67.414000000000001</v>
      </c>
      <c r="BZ14" s="35">
        <f t="shared" si="1"/>
        <v>81.831600000000009</v>
      </c>
    </row>
    <row r="15" spans="1:84" x14ac:dyDescent="0.25">
      <c r="A15" s="78" t="s">
        <v>226</v>
      </c>
      <c r="B15" s="79" t="s">
        <v>218</v>
      </c>
      <c r="C15" s="80" t="s">
        <v>219</v>
      </c>
      <c r="D15" s="80"/>
      <c r="E15" s="80"/>
      <c r="F15" s="80"/>
      <c r="G15" s="81"/>
      <c r="H15" s="82" t="s">
        <v>220</v>
      </c>
      <c r="I15" s="35">
        <f t="shared" ref="I15:AN15" si="3">I5*0.041868</f>
        <v>313.71938737800002</v>
      </c>
      <c r="J15" s="91">
        <f t="shared" si="3"/>
        <v>0</v>
      </c>
      <c r="K15" s="35">
        <f t="shared" si="3"/>
        <v>0</v>
      </c>
      <c r="L15" s="35">
        <f t="shared" si="3"/>
        <v>0</v>
      </c>
      <c r="M15" s="35">
        <f t="shared" si="3"/>
        <v>0</v>
      </c>
      <c r="N15" s="35">
        <f t="shared" si="3"/>
        <v>0</v>
      </c>
      <c r="O15" s="35">
        <f t="shared" si="3"/>
        <v>0</v>
      </c>
      <c r="P15" s="35">
        <f t="shared" si="3"/>
        <v>0</v>
      </c>
      <c r="Q15" s="35">
        <f t="shared" si="3"/>
        <v>0</v>
      </c>
      <c r="R15" s="35">
        <f t="shared" si="3"/>
        <v>0</v>
      </c>
      <c r="S15" s="35">
        <f t="shared" si="3"/>
        <v>0</v>
      </c>
      <c r="T15" s="35">
        <f t="shared" si="3"/>
        <v>0</v>
      </c>
      <c r="U15" s="35">
        <f t="shared" si="3"/>
        <v>8.2799999999999999E-2</v>
      </c>
      <c r="V15" s="35">
        <f t="shared" si="3"/>
        <v>8.2799999999999999E-2</v>
      </c>
      <c r="W15" s="35">
        <f t="shared" si="3"/>
        <v>0</v>
      </c>
      <c r="X15" s="35">
        <f t="shared" si="3"/>
        <v>0</v>
      </c>
      <c r="Y15" s="35">
        <f t="shared" si="3"/>
        <v>0</v>
      </c>
      <c r="Z15" s="35">
        <f t="shared" si="3"/>
        <v>0</v>
      </c>
      <c r="AA15" s="35">
        <f t="shared" si="3"/>
        <v>0</v>
      </c>
      <c r="AB15" s="35">
        <f t="shared" si="3"/>
        <v>0</v>
      </c>
      <c r="AC15" s="35">
        <f t="shared" si="3"/>
        <v>0</v>
      </c>
      <c r="AD15" s="91">
        <f t="shared" si="3"/>
        <v>7.8864168399999999</v>
      </c>
      <c r="AE15" s="35">
        <f t="shared" si="3"/>
        <v>0</v>
      </c>
      <c r="AF15" s="35">
        <f t="shared" si="3"/>
        <v>0</v>
      </c>
      <c r="AG15" s="35" t="e">
        <f t="shared" si="3"/>
        <v>#VALUE!</v>
      </c>
      <c r="AH15" s="35" t="e">
        <f t="shared" si="3"/>
        <v>#VALUE!</v>
      </c>
      <c r="AI15" s="35" t="e">
        <f t="shared" si="3"/>
        <v>#VALUE!</v>
      </c>
      <c r="AJ15" s="35">
        <f t="shared" si="3"/>
        <v>0</v>
      </c>
      <c r="AK15" s="35">
        <f t="shared" si="3"/>
        <v>0</v>
      </c>
      <c r="AL15" s="35">
        <f t="shared" si="3"/>
        <v>0.17206642799999999</v>
      </c>
      <c r="AM15" s="35">
        <f t="shared" si="3"/>
        <v>4.6011581800000005</v>
      </c>
      <c r="AN15" s="35">
        <f t="shared" si="3"/>
        <v>0</v>
      </c>
      <c r="AO15" s="35">
        <f t="shared" ref="AO15:BT15" si="4">AO5*0.041868</f>
        <v>0</v>
      </c>
      <c r="AP15" s="35">
        <f t="shared" si="4"/>
        <v>0</v>
      </c>
      <c r="AQ15" s="35">
        <f t="shared" si="4"/>
        <v>0</v>
      </c>
      <c r="AR15" s="35">
        <f t="shared" si="4"/>
        <v>0</v>
      </c>
      <c r="AS15" s="35">
        <f t="shared" si="4"/>
        <v>3.1131922319999998</v>
      </c>
      <c r="AT15" s="35">
        <f t="shared" si="4"/>
        <v>0</v>
      </c>
      <c r="AU15" s="35">
        <f t="shared" si="4"/>
        <v>0</v>
      </c>
      <c r="AV15" s="35">
        <f t="shared" si="4"/>
        <v>0</v>
      </c>
      <c r="AW15" s="35">
        <f t="shared" si="4"/>
        <v>0</v>
      </c>
      <c r="AX15" s="35">
        <f t="shared" si="4"/>
        <v>0</v>
      </c>
      <c r="AY15" s="35">
        <f t="shared" si="4"/>
        <v>0</v>
      </c>
      <c r="AZ15" s="35">
        <f t="shared" si="4"/>
        <v>0</v>
      </c>
      <c r="BA15" s="91">
        <f t="shared" si="4"/>
        <v>1.3689</v>
      </c>
      <c r="BB15" s="35">
        <f t="shared" si="4"/>
        <v>34.323470538000002</v>
      </c>
      <c r="BC15" s="35" t="e">
        <f t="shared" si="4"/>
        <v>#VALUE!</v>
      </c>
      <c r="BD15" s="35" t="e">
        <f t="shared" si="4"/>
        <v>#VALUE!</v>
      </c>
      <c r="BE15" s="35" t="e">
        <f t="shared" si="4"/>
        <v>#VALUE!</v>
      </c>
      <c r="BF15" s="35" t="e">
        <f t="shared" si="4"/>
        <v>#VALUE!</v>
      </c>
      <c r="BG15" s="35">
        <f t="shared" si="4"/>
        <v>0.45699999999999996</v>
      </c>
      <c r="BH15" s="35">
        <f t="shared" si="4"/>
        <v>0</v>
      </c>
      <c r="BI15" s="35">
        <f t="shared" si="4"/>
        <v>32.506999999999998</v>
      </c>
      <c r="BJ15" s="35">
        <f t="shared" si="4"/>
        <v>0</v>
      </c>
      <c r="BK15" s="35">
        <f t="shared" si="4"/>
        <v>0.67399999999999993</v>
      </c>
      <c r="BL15" s="35">
        <f t="shared" si="4"/>
        <v>0</v>
      </c>
      <c r="BM15" s="35">
        <f t="shared" si="4"/>
        <v>0</v>
      </c>
      <c r="BN15" s="35">
        <f t="shared" si="4"/>
        <v>0.29090938799999999</v>
      </c>
      <c r="BO15" s="35">
        <f t="shared" si="4"/>
        <v>0.12615300000000002</v>
      </c>
      <c r="BP15" s="35">
        <f t="shared" si="4"/>
        <v>0.26840814999999996</v>
      </c>
      <c r="BQ15" s="35">
        <f t="shared" si="4"/>
        <v>0</v>
      </c>
      <c r="BR15" s="35">
        <f t="shared" si="4"/>
        <v>0</v>
      </c>
      <c r="BS15" s="35">
        <f t="shared" si="4"/>
        <v>0</v>
      </c>
      <c r="BT15" s="35">
        <f t="shared" si="4"/>
        <v>0</v>
      </c>
      <c r="BU15" s="35">
        <f t="shared" ref="BU15:BZ15" si="5">BU5*0.041868</f>
        <v>0</v>
      </c>
      <c r="BV15" s="35">
        <f t="shared" si="5"/>
        <v>0</v>
      </c>
      <c r="BW15" s="35">
        <f t="shared" si="5"/>
        <v>0</v>
      </c>
      <c r="BX15" s="35" t="e">
        <f t="shared" si="5"/>
        <v>#VALUE!</v>
      </c>
      <c r="BY15" s="35">
        <f t="shared" si="5"/>
        <v>107.813</v>
      </c>
      <c r="BZ15" s="35">
        <f t="shared" si="5"/>
        <v>162.24480000000003</v>
      </c>
    </row>
    <row r="16" spans="1:84" x14ac:dyDescent="0.25">
      <c r="A16" s="78" t="s">
        <v>224</v>
      </c>
      <c r="B16" s="79" t="s">
        <v>218</v>
      </c>
      <c r="C16" s="80" t="s">
        <v>219</v>
      </c>
      <c r="D16" s="80"/>
      <c r="E16" s="80"/>
      <c r="F16" s="80"/>
      <c r="G16" s="81"/>
      <c r="H16" s="82" t="s">
        <v>220</v>
      </c>
      <c r="I16" s="35">
        <f t="shared" ref="I16:AN16" si="6">I6*0.041868</f>
        <v>21.1578792</v>
      </c>
      <c r="J16" s="91">
        <f t="shared" si="6"/>
        <v>0</v>
      </c>
      <c r="K16" s="35">
        <f t="shared" si="6"/>
        <v>0</v>
      </c>
      <c r="L16" s="35">
        <f t="shared" si="6"/>
        <v>0</v>
      </c>
      <c r="M16" s="35">
        <f t="shared" si="6"/>
        <v>0</v>
      </c>
      <c r="N16" s="35">
        <f t="shared" si="6"/>
        <v>0</v>
      </c>
      <c r="O16" s="35">
        <f t="shared" si="6"/>
        <v>0</v>
      </c>
      <c r="P16" s="35">
        <f t="shared" si="6"/>
        <v>0</v>
      </c>
      <c r="Q16" s="35">
        <f t="shared" si="6"/>
        <v>0</v>
      </c>
      <c r="R16" s="35">
        <f t="shared" si="6"/>
        <v>0</v>
      </c>
      <c r="S16" s="35">
        <f t="shared" si="6"/>
        <v>0</v>
      </c>
      <c r="T16" s="35">
        <f t="shared" si="6"/>
        <v>0</v>
      </c>
      <c r="U16" s="35">
        <f t="shared" si="6"/>
        <v>0</v>
      </c>
      <c r="V16" s="35">
        <f t="shared" si="6"/>
        <v>0</v>
      </c>
      <c r="W16" s="35">
        <f t="shared" si="6"/>
        <v>0</v>
      </c>
      <c r="X16" s="35">
        <f t="shared" si="6"/>
        <v>0</v>
      </c>
      <c r="Y16" s="35">
        <f t="shared" si="6"/>
        <v>0</v>
      </c>
      <c r="Z16" s="35">
        <f t="shared" si="6"/>
        <v>0</v>
      </c>
      <c r="AA16" s="35">
        <f t="shared" si="6"/>
        <v>0</v>
      </c>
      <c r="AB16" s="35">
        <f t="shared" si="6"/>
        <v>0</v>
      </c>
      <c r="AC16" s="35">
        <f t="shared" si="6"/>
        <v>0</v>
      </c>
      <c r="AD16" s="91">
        <f t="shared" si="6"/>
        <v>0.108738</v>
      </c>
      <c r="AE16" s="35">
        <f t="shared" si="6"/>
        <v>0</v>
      </c>
      <c r="AF16" s="35">
        <f t="shared" si="6"/>
        <v>0</v>
      </c>
      <c r="AG16" s="35" t="e">
        <f t="shared" si="6"/>
        <v>#VALUE!</v>
      </c>
      <c r="AH16" s="35" t="e">
        <f t="shared" si="6"/>
        <v>#VALUE!</v>
      </c>
      <c r="AI16" s="35" t="e">
        <f t="shared" si="6"/>
        <v>#VALUE!</v>
      </c>
      <c r="AJ16" s="35">
        <f t="shared" si="6"/>
        <v>0</v>
      </c>
      <c r="AK16" s="35">
        <f t="shared" si="6"/>
        <v>0</v>
      </c>
      <c r="AL16" s="35">
        <f t="shared" si="6"/>
        <v>7.4165999999999996E-2</v>
      </c>
      <c r="AM16" s="35">
        <f t="shared" si="6"/>
        <v>0</v>
      </c>
      <c r="AN16" s="35">
        <f t="shared" si="6"/>
        <v>0</v>
      </c>
      <c r="AO16" s="35">
        <f t="shared" ref="AO16:BT16" si="7">AO6*0.041868</f>
        <v>0</v>
      </c>
      <c r="AP16" s="35">
        <f t="shared" si="7"/>
        <v>0</v>
      </c>
      <c r="AQ16" s="35">
        <f t="shared" si="7"/>
        <v>0</v>
      </c>
      <c r="AR16" s="35">
        <f t="shared" si="7"/>
        <v>0</v>
      </c>
      <c r="AS16" s="35">
        <f t="shared" si="7"/>
        <v>3.4572000000000006E-2</v>
      </c>
      <c r="AT16" s="35">
        <f t="shared" si="7"/>
        <v>0</v>
      </c>
      <c r="AU16" s="35">
        <f t="shared" si="7"/>
        <v>0</v>
      </c>
      <c r="AV16" s="35">
        <f t="shared" si="7"/>
        <v>0</v>
      </c>
      <c r="AW16" s="35">
        <f t="shared" si="7"/>
        <v>0</v>
      </c>
      <c r="AX16" s="35">
        <f t="shared" si="7"/>
        <v>0</v>
      </c>
      <c r="AY16" s="35">
        <f t="shared" si="7"/>
        <v>0</v>
      </c>
      <c r="AZ16" s="35">
        <f t="shared" si="7"/>
        <v>0</v>
      </c>
      <c r="BA16" s="91">
        <f t="shared" si="7"/>
        <v>0</v>
      </c>
      <c r="BB16" s="35">
        <f t="shared" si="7"/>
        <v>0.505</v>
      </c>
      <c r="BC16" s="35" t="e">
        <f t="shared" si="7"/>
        <v>#VALUE!</v>
      </c>
      <c r="BD16" s="35" t="e">
        <f t="shared" si="7"/>
        <v>#VALUE!</v>
      </c>
      <c r="BE16" s="35" t="e">
        <f t="shared" si="7"/>
        <v>#VALUE!</v>
      </c>
      <c r="BF16" s="35" t="e">
        <f t="shared" si="7"/>
        <v>#VALUE!</v>
      </c>
      <c r="BG16" s="35">
        <f t="shared" si="7"/>
        <v>0</v>
      </c>
      <c r="BH16" s="35">
        <f t="shared" si="7"/>
        <v>0.505</v>
      </c>
      <c r="BI16" s="35">
        <f t="shared" si="7"/>
        <v>0</v>
      </c>
      <c r="BJ16" s="35">
        <f t="shared" si="7"/>
        <v>0</v>
      </c>
      <c r="BK16" s="35">
        <f t="shared" si="7"/>
        <v>0</v>
      </c>
      <c r="BL16" s="35">
        <f t="shared" si="7"/>
        <v>0</v>
      </c>
      <c r="BM16" s="35">
        <f t="shared" si="7"/>
        <v>0</v>
      </c>
      <c r="BN16" s="35">
        <f t="shared" si="7"/>
        <v>0</v>
      </c>
      <c r="BO16" s="35">
        <f t="shared" si="7"/>
        <v>0</v>
      </c>
      <c r="BP16" s="35">
        <f t="shared" si="7"/>
        <v>0</v>
      </c>
      <c r="BQ16" s="35">
        <f t="shared" si="7"/>
        <v>0</v>
      </c>
      <c r="BR16" s="35">
        <f t="shared" si="7"/>
        <v>0</v>
      </c>
      <c r="BS16" s="35">
        <f t="shared" si="7"/>
        <v>0</v>
      </c>
      <c r="BT16" s="35">
        <f t="shared" si="7"/>
        <v>0</v>
      </c>
      <c r="BU16" s="35">
        <f t="shared" ref="BU16:BZ16" si="8">BU6*0.041868</f>
        <v>0</v>
      </c>
      <c r="BV16" s="35">
        <f t="shared" si="8"/>
        <v>0</v>
      </c>
      <c r="BW16" s="35">
        <f t="shared" si="8"/>
        <v>0</v>
      </c>
      <c r="BX16" s="35" t="e">
        <f t="shared" si="8"/>
        <v>#VALUE!</v>
      </c>
      <c r="BY16" s="35">
        <f t="shared" si="8"/>
        <v>17.491945999999999</v>
      </c>
      <c r="BZ16" s="35">
        <f t="shared" si="8"/>
        <v>3.0521951999999999</v>
      </c>
    </row>
    <row r="17" spans="1:84" x14ac:dyDescent="0.25">
      <c r="A17" s="78" t="s">
        <v>225</v>
      </c>
      <c r="B17" s="79" t="s">
        <v>218</v>
      </c>
      <c r="C17" s="80" t="s">
        <v>219</v>
      </c>
      <c r="D17" s="80"/>
      <c r="E17" s="80"/>
      <c r="F17" s="80"/>
      <c r="G17" s="81"/>
      <c r="H17" s="82" t="s">
        <v>220</v>
      </c>
      <c r="I17" s="35">
        <f t="shared" ref="I17:AN17" si="9">I7*0.041868</f>
        <v>192.94132190000002</v>
      </c>
      <c r="J17" s="91">
        <f t="shared" si="9"/>
        <v>0</v>
      </c>
      <c r="K17" s="35">
        <f t="shared" si="9"/>
        <v>0</v>
      </c>
      <c r="L17" s="35">
        <f t="shared" si="9"/>
        <v>0</v>
      </c>
      <c r="M17" s="35">
        <f t="shared" si="9"/>
        <v>0</v>
      </c>
      <c r="N17" s="35">
        <f t="shared" si="9"/>
        <v>0</v>
      </c>
      <c r="O17" s="35">
        <f t="shared" si="9"/>
        <v>0</v>
      </c>
      <c r="P17" s="35">
        <f t="shared" si="9"/>
        <v>0</v>
      </c>
      <c r="Q17" s="35">
        <f t="shared" si="9"/>
        <v>0</v>
      </c>
      <c r="R17" s="35">
        <f t="shared" si="9"/>
        <v>0</v>
      </c>
      <c r="S17" s="35">
        <f t="shared" si="9"/>
        <v>0</v>
      </c>
      <c r="T17" s="35">
        <f t="shared" si="9"/>
        <v>0</v>
      </c>
      <c r="U17" s="35">
        <f t="shared" si="9"/>
        <v>0</v>
      </c>
      <c r="V17" s="35">
        <f t="shared" si="9"/>
        <v>0</v>
      </c>
      <c r="W17" s="35">
        <f t="shared" si="9"/>
        <v>0</v>
      </c>
      <c r="X17" s="35">
        <f t="shared" si="9"/>
        <v>0</v>
      </c>
      <c r="Y17" s="35">
        <f t="shared" si="9"/>
        <v>0</v>
      </c>
      <c r="Z17" s="35">
        <f t="shared" si="9"/>
        <v>0</v>
      </c>
      <c r="AA17" s="35">
        <f t="shared" si="9"/>
        <v>0</v>
      </c>
      <c r="AB17" s="35">
        <f t="shared" si="9"/>
        <v>0</v>
      </c>
      <c r="AC17" s="35">
        <f t="shared" si="9"/>
        <v>0</v>
      </c>
      <c r="AD17" s="91">
        <f t="shared" si="9"/>
        <v>2.2592000000000003</v>
      </c>
      <c r="AE17" s="35">
        <f t="shared" si="9"/>
        <v>0</v>
      </c>
      <c r="AF17" s="35">
        <f t="shared" si="9"/>
        <v>0</v>
      </c>
      <c r="AG17" s="35" t="e">
        <f t="shared" si="9"/>
        <v>#VALUE!</v>
      </c>
      <c r="AH17" s="35" t="e">
        <f t="shared" si="9"/>
        <v>#VALUE!</v>
      </c>
      <c r="AI17" s="35" t="e">
        <f t="shared" si="9"/>
        <v>#VALUE!</v>
      </c>
      <c r="AJ17" s="35">
        <f t="shared" si="9"/>
        <v>0</v>
      </c>
      <c r="AK17" s="35">
        <f t="shared" si="9"/>
        <v>0</v>
      </c>
      <c r="AL17" s="35">
        <f t="shared" si="9"/>
        <v>0.27660000000000001</v>
      </c>
      <c r="AM17" s="35">
        <f t="shared" si="9"/>
        <v>0</v>
      </c>
      <c r="AN17" s="35">
        <f t="shared" si="9"/>
        <v>0</v>
      </c>
      <c r="AO17" s="35">
        <f t="shared" ref="AO17:BT17" si="10">AO7*0.041868</f>
        <v>0</v>
      </c>
      <c r="AP17" s="35">
        <f t="shared" si="10"/>
        <v>0</v>
      </c>
      <c r="AQ17" s="35">
        <f t="shared" si="10"/>
        <v>0.38790000000000002</v>
      </c>
      <c r="AR17" s="35">
        <f t="shared" si="10"/>
        <v>0</v>
      </c>
      <c r="AS17" s="35">
        <f t="shared" si="10"/>
        <v>1.5947000000000002</v>
      </c>
      <c r="AT17" s="35">
        <f t="shared" si="10"/>
        <v>0</v>
      </c>
      <c r="AU17" s="35">
        <f t="shared" si="10"/>
        <v>0</v>
      </c>
      <c r="AV17" s="35">
        <f t="shared" si="10"/>
        <v>0</v>
      </c>
      <c r="AW17" s="35">
        <f t="shared" si="10"/>
        <v>0</v>
      </c>
      <c r="AX17" s="35">
        <f t="shared" si="10"/>
        <v>0</v>
      </c>
      <c r="AY17" s="35">
        <f t="shared" si="10"/>
        <v>0</v>
      </c>
      <c r="AZ17" s="35">
        <f t="shared" si="10"/>
        <v>0</v>
      </c>
      <c r="BA17" s="91">
        <f t="shared" si="10"/>
        <v>3.1950899999999997E-2</v>
      </c>
      <c r="BB17" s="35">
        <f t="shared" si="10"/>
        <v>40.950201</v>
      </c>
      <c r="BC17" s="35" t="e">
        <f t="shared" si="10"/>
        <v>#VALUE!</v>
      </c>
      <c r="BD17" s="35" t="e">
        <f t="shared" si="10"/>
        <v>#VALUE!</v>
      </c>
      <c r="BE17" s="35" t="e">
        <f t="shared" si="10"/>
        <v>#VALUE!</v>
      </c>
      <c r="BF17" s="35" t="e">
        <f t="shared" si="10"/>
        <v>#VALUE!</v>
      </c>
      <c r="BG17" s="35">
        <f t="shared" si="10"/>
        <v>0</v>
      </c>
      <c r="BH17" s="35">
        <f t="shared" si="10"/>
        <v>0</v>
      </c>
      <c r="BI17" s="35">
        <f t="shared" si="10"/>
        <v>20.294201000000001</v>
      </c>
      <c r="BJ17" s="35">
        <f t="shared" si="10"/>
        <v>0</v>
      </c>
      <c r="BK17" s="35">
        <f t="shared" si="10"/>
        <v>0</v>
      </c>
      <c r="BL17" s="35">
        <f t="shared" si="10"/>
        <v>0</v>
      </c>
      <c r="BM17" s="35">
        <f t="shared" si="10"/>
        <v>0</v>
      </c>
      <c r="BN17" s="35">
        <f t="shared" si="10"/>
        <v>0</v>
      </c>
      <c r="BO17" s="35">
        <f t="shared" si="10"/>
        <v>0</v>
      </c>
      <c r="BP17" s="35">
        <f t="shared" si="10"/>
        <v>0</v>
      </c>
      <c r="BQ17" s="35">
        <f t="shared" si="10"/>
        <v>0</v>
      </c>
      <c r="BR17" s="35">
        <f t="shared" si="10"/>
        <v>0</v>
      </c>
      <c r="BS17" s="35">
        <f t="shared" si="10"/>
        <v>0</v>
      </c>
      <c r="BT17" s="35">
        <f t="shared" si="10"/>
        <v>20.656000000000002</v>
      </c>
      <c r="BU17" s="35">
        <f t="shared" ref="BU17:BZ17" si="11">BU7*0.041868</f>
        <v>0</v>
      </c>
      <c r="BV17" s="35">
        <f t="shared" si="11"/>
        <v>0</v>
      </c>
      <c r="BW17" s="35">
        <f t="shared" si="11"/>
        <v>0</v>
      </c>
      <c r="BX17" s="35" t="e">
        <f t="shared" si="11"/>
        <v>#VALUE!</v>
      </c>
      <c r="BY17" s="35">
        <f t="shared" si="11"/>
        <v>4.6223819999999991</v>
      </c>
      <c r="BZ17" s="35">
        <f t="shared" si="11"/>
        <v>145.07758800000002</v>
      </c>
    </row>
    <row r="18" spans="1:84" x14ac:dyDescent="0.25">
      <c r="I18" s="96">
        <f>SUM(I13:I17)</f>
        <v>959.5161633780001</v>
      </c>
    </row>
    <row r="21" spans="1:84" s="75" customFormat="1" ht="67.5" x14ac:dyDescent="0.25">
      <c r="A21" s="67"/>
      <c r="B21" s="67"/>
      <c r="C21" s="67"/>
      <c r="D21" s="68" t="s">
        <v>155</v>
      </c>
      <c r="E21" s="68"/>
      <c r="F21" s="69">
        <v>2017</v>
      </c>
      <c r="G21" s="70"/>
      <c r="H21" s="71"/>
      <c r="I21" s="72" t="s">
        <v>32</v>
      </c>
      <c r="J21" s="89" t="s">
        <v>156</v>
      </c>
      <c r="K21" s="73" t="s">
        <v>157</v>
      </c>
      <c r="L21" s="73" t="s">
        <v>158</v>
      </c>
      <c r="M21" s="73" t="s">
        <v>159</v>
      </c>
      <c r="N21" s="73" t="s">
        <v>160</v>
      </c>
      <c r="O21" s="73" t="s">
        <v>161</v>
      </c>
      <c r="P21" s="73" t="s">
        <v>162</v>
      </c>
      <c r="Q21" s="73" t="s">
        <v>163</v>
      </c>
      <c r="R21" s="73" t="s">
        <v>164</v>
      </c>
      <c r="S21" s="73" t="s">
        <v>165</v>
      </c>
      <c r="T21" s="73" t="s">
        <v>166</v>
      </c>
      <c r="U21" s="72" t="s">
        <v>167</v>
      </c>
      <c r="V21" s="73" t="s">
        <v>168</v>
      </c>
      <c r="W21" s="73" t="s">
        <v>169</v>
      </c>
      <c r="X21" s="73" t="s">
        <v>170</v>
      </c>
      <c r="Y21" s="73" t="s">
        <v>171</v>
      </c>
      <c r="Z21" s="72" t="s">
        <v>172</v>
      </c>
      <c r="AA21" s="73" t="s">
        <v>100</v>
      </c>
      <c r="AB21" s="73" t="s">
        <v>173</v>
      </c>
      <c r="AC21" s="72" t="s">
        <v>174</v>
      </c>
      <c r="AD21" s="89" t="s">
        <v>175</v>
      </c>
      <c r="AE21" s="73" t="s">
        <v>176</v>
      </c>
      <c r="AF21" s="73" t="s">
        <v>177</v>
      </c>
      <c r="AG21" s="73" t="s">
        <v>178</v>
      </c>
      <c r="AH21" s="73" t="s">
        <v>179</v>
      </c>
      <c r="AI21" s="73" t="s">
        <v>180</v>
      </c>
      <c r="AJ21" s="73" t="s">
        <v>181</v>
      </c>
      <c r="AK21" s="73" t="s">
        <v>182</v>
      </c>
      <c r="AL21" s="73" t="s">
        <v>183</v>
      </c>
      <c r="AM21" s="74" t="s">
        <v>184</v>
      </c>
      <c r="AN21" s="73" t="s">
        <v>185</v>
      </c>
      <c r="AO21" s="73" t="s">
        <v>186</v>
      </c>
      <c r="AP21" s="74" t="s">
        <v>187</v>
      </c>
      <c r="AQ21" s="73" t="s">
        <v>104</v>
      </c>
      <c r="AR21" s="73" t="s">
        <v>188</v>
      </c>
      <c r="AS21" s="74" t="s">
        <v>189</v>
      </c>
      <c r="AT21" s="73" t="s">
        <v>190</v>
      </c>
      <c r="AU21" s="74" t="s">
        <v>191</v>
      </c>
      <c r="AV21" s="73" t="s">
        <v>192</v>
      </c>
      <c r="AW21" s="73" t="s">
        <v>193</v>
      </c>
      <c r="AX21" s="73" t="s">
        <v>194</v>
      </c>
      <c r="AY21" s="73" t="s">
        <v>195</v>
      </c>
      <c r="AZ21" s="73" t="s">
        <v>196</v>
      </c>
      <c r="BA21" s="89" t="s">
        <v>24</v>
      </c>
      <c r="BB21" s="72" t="s">
        <v>197</v>
      </c>
      <c r="BC21" s="73" t="s">
        <v>198</v>
      </c>
      <c r="BD21" s="73" t="s">
        <v>199</v>
      </c>
      <c r="BE21" s="73" t="s">
        <v>200</v>
      </c>
      <c r="BF21" s="73" t="s">
        <v>201</v>
      </c>
      <c r="BG21" s="73" t="s">
        <v>109</v>
      </c>
      <c r="BH21" s="73" t="s">
        <v>26</v>
      </c>
      <c r="BI21" s="73" t="s">
        <v>202</v>
      </c>
      <c r="BJ21" s="73" t="s">
        <v>203</v>
      </c>
      <c r="BK21" s="73" t="s">
        <v>204</v>
      </c>
      <c r="BL21" s="73" t="s">
        <v>205</v>
      </c>
      <c r="BM21" s="73" t="s">
        <v>206</v>
      </c>
      <c r="BN21" s="73" t="s">
        <v>207</v>
      </c>
      <c r="BO21" s="73" t="s">
        <v>208</v>
      </c>
      <c r="BP21" s="73" t="s">
        <v>209</v>
      </c>
      <c r="BQ21" s="73" t="s">
        <v>210</v>
      </c>
      <c r="BR21" s="73" t="s">
        <v>211</v>
      </c>
      <c r="BS21" s="73" t="s">
        <v>114</v>
      </c>
      <c r="BT21" s="73" t="s">
        <v>212</v>
      </c>
      <c r="BU21" s="72" t="s">
        <v>213</v>
      </c>
      <c r="BV21" s="73" t="s">
        <v>214</v>
      </c>
      <c r="BW21" s="73" t="s">
        <v>215</v>
      </c>
      <c r="BX21" s="72" t="s">
        <v>216</v>
      </c>
      <c r="BY21" s="72" t="s">
        <v>217</v>
      </c>
      <c r="BZ21" s="72" t="s">
        <v>27</v>
      </c>
      <c r="CE21" s="76"/>
      <c r="CF21" s="77"/>
    </row>
    <row r="22" spans="1:84" s="86" customFormat="1" ht="11.25" customHeight="1" x14ac:dyDescent="0.25">
      <c r="A22" s="78" t="s">
        <v>222</v>
      </c>
      <c r="B22" s="79" t="s">
        <v>218</v>
      </c>
      <c r="C22" s="80" t="s">
        <v>219</v>
      </c>
      <c r="D22" s="80"/>
      <c r="E22" s="80"/>
      <c r="F22" s="80"/>
      <c r="G22" s="81"/>
      <c r="H22" s="82" t="s">
        <v>220</v>
      </c>
      <c r="I22" s="83">
        <v>4591.2913155631986</v>
      </c>
      <c r="J22" s="90">
        <v>0</v>
      </c>
      <c r="K22" s="84">
        <v>0</v>
      </c>
      <c r="L22" s="84">
        <v>0</v>
      </c>
      <c r="M22" s="84">
        <v>0</v>
      </c>
      <c r="N22" s="84">
        <v>0</v>
      </c>
      <c r="O22" s="84">
        <v>0</v>
      </c>
      <c r="P22" s="84">
        <v>0</v>
      </c>
      <c r="Q22" s="84">
        <v>0</v>
      </c>
      <c r="R22" s="84">
        <v>0</v>
      </c>
      <c r="S22" s="84">
        <v>0</v>
      </c>
      <c r="T22" s="84">
        <v>0</v>
      </c>
      <c r="U22" s="83">
        <v>0</v>
      </c>
      <c r="V22" s="84">
        <v>0</v>
      </c>
      <c r="W22" s="84">
        <v>0</v>
      </c>
      <c r="X22" s="84">
        <v>0</v>
      </c>
      <c r="Y22" s="84">
        <v>0</v>
      </c>
      <c r="Z22" s="83">
        <v>0</v>
      </c>
      <c r="AA22" s="84">
        <v>0</v>
      </c>
      <c r="AB22" s="84">
        <v>0</v>
      </c>
      <c r="AC22" s="85">
        <v>0</v>
      </c>
      <c r="AD22" s="90">
        <v>218.75204213241616</v>
      </c>
      <c r="AE22" s="84">
        <v>0</v>
      </c>
      <c r="AF22" s="84">
        <v>0</v>
      </c>
      <c r="AG22" s="84" t="s">
        <v>221</v>
      </c>
      <c r="AH22" s="84" t="s">
        <v>221</v>
      </c>
      <c r="AI22" s="84" t="s">
        <v>221</v>
      </c>
      <c r="AJ22" s="84">
        <v>0</v>
      </c>
      <c r="AK22" s="84">
        <v>0</v>
      </c>
      <c r="AL22" s="84">
        <v>21.112448648132226</v>
      </c>
      <c r="AM22" s="84">
        <v>20.579764975637719</v>
      </c>
      <c r="AN22" s="84">
        <v>0</v>
      </c>
      <c r="AO22" s="84">
        <v>0</v>
      </c>
      <c r="AP22" s="84">
        <v>0</v>
      </c>
      <c r="AQ22" s="84">
        <v>0</v>
      </c>
      <c r="AR22" s="84">
        <v>0</v>
      </c>
      <c r="AS22" s="84">
        <v>176.82438377758669</v>
      </c>
      <c r="AT22" s="84">
        <v>0.23544473105952038</v>
      </c>
      <c r="AU22" s="84">
        <v>0</v>
      </c>
      <c r="AV22" s="84">
        <v>0</v>
      </c>
      <c r="AW22" s="84">
        <v>0</v>
      </c>
      <c r="AX22" s="84">
        <v>0</v>
      </c>
      <c r="AY22" s="84">
        <v>0</v>
      </c>
      <c r="AZ22" s="84">
        <v>0</v>
      </c>
      <c r="BA22" s="94">
        <v>622.11347807394668</v>
      </c>
      <c r="BB22" s="83">
        <v>1228.1146221457916</v>
      </c>
      <c r="BC22" s="84" t="s">
        <v>221</v>
      </c>
      <c r="BD22" s="84" t="s">
        <v>221</v>
      </c>
      <c r="BE22" s="84" t="s">
        <v>221</v>
      </c>
      <c r="BF22" s="84" t="s">
        <v>221</v>
      </c>
      <c r="BG22" s="84">
        <v>12.119136333237794</v>
      </c>
      <c r="BH22" s="84">
        <v>0</v>
      </c>
      <c r="BI22" s="84">
        <v>1031.9561717779688</v>
      </c>
      <c r="BJ22" s="84">
        <v>0</v>
      </c>
      <c r="BK22" s="84">
        <v>31.986457437661223</v>
      </c>
      <c r="BL22" s="84">
        <v>0</v>
      </c>
      <c r="BM22" s="84">
        <v>0</v>
      </c>
      <c r="BN22" s="84">
        <v>0</v>
      </c>
      <c r="BO22" s="84">
        <v>0</v>
      </c>
      <c r="BP22" s="84">
        <v>0</v>
      </c>
      <c r="BQ22" s="84">
        <v>0</v>
      </c>
      <c r="BR22" s="84">
        <v>0</v>
      </c>
      <c r="BS22" s="84">
        <v>0</v>
      </c>
      <c r="BT22" s="84">
        <v>152.05285659692368</v>
      </c>
      <c r="BU22" s="83">
        <v>0</v>
      </c>
      <c r="BV22" s="84">
        <v>0</v>
      </c>
      <c r="BW22" s="84">
        <v>0</v>
      </c>
      <c r="BX22" s="85" t="s">
        <v>221</v>
      </c>
      <c r="BY22" s="85">
        <v>1674.1661173211041</v>
      </c>
      <c r="BZ22" s="85">
        <v>848.14505588993973</v>
      </c>
    </row>
    <row r="23" spans="1:84" s="86" customFormat="1" ht="11.25" customHeight="1" x14ac:dyDescent="0.25">
      <c r="A23" s="78" t="s">
        <v>223</v>
      </c>
      <c r="B23" s="79" t="s">
        <v>218</v>
      </c>
      <c r="C23" s="80" t="s">
        <v>219</v>
      </c>
      <c r="D23" s="80"/>
      <c r="E23" s="80"/>
      <c r="F23" s="80"/>
      <c r="G23" s="81"/>
      <c r="H23" s="82" t="s">
        <v>220</v>
      </c>
      <c r="I23" s="83">
        <v>5761.7603420273235</v>
      </c>
      <c r="J23" s="90">
        <v>0</v>
      </c>
      <c r="K23" s="84">
        <v>0</v>
      </c>
      <c r="L23" s="84">
        <v>0</v>
      </c>
      <c r="M23" s="84">
        <v>0</v>
      </c>
      <c r="N23" s="84">
        <v>0</v>
      </c>
      <c r="O23" s="84">
        <v>0</v>
      </c>
      <c r="P23" s="84">
        <v>0</v>
      </c>
      <c r="Q23" s="84">
        <v>0</v>
      </c>
      <c r="R23" s="84">
        <v>0</v>
      </c>
      <c r="S23" s="84">
        <v>0</v>
      </c>
      <c r="T23" s="84">
        <v>0</v>
      </c>
      <c r="U23" s="83">
        <v>0</v>
      </c>
      <c r="V23" s="84">
        <v>0</v>
      </c>
      <c r="W23" s="84">
        <v>0</v>
      </c>
      <c r="X23" s="84">
        <v>0</v>
      </c>
      <c r="Y23" s="84">
        <v>0</v>
      </c>
      <c r="Z23" s="83">
        <v>3.5540269418171397</v>
      </c>
      <c r="AA23" s="84">
        <v>3.5540269418171397</v>
      </c>
      <c r="AB23" s="84">
        <v>0</v>
      </c>
      <c r="AC23" s="85">
        <v>0</v>
      </c>
      <c r="AD23" s="90">
        <v>357.83065825929106</v>
      </c>
      <c r="AE23" s="84">
        <v>0</v>
      </c>
      <c r="AF23" s="84">
        <v>0</v>
      </c>
      <c r="AG23" s="84" t="s">
        <v>221</v>
      </c>
      <c r="AH23" s="84" t="s">
        <v>221</v>
      </c>
      <c r="AI23" s="84" t="s">
        <v>221</v>
      </c>
      <c r="AJ23" s="84">
        <v>0</v>
      </c>
      <c r="AK23" s="84">
        <v>0</v>
      </c>
      <c r="AL23" s="84">
        <v>4.4234260055412244</v>
      </c>
      <c r="AM23" s="84">
        <v>45.610012419986617</v>
      </c>
      <c r="AN23" s="84">
        <v>0</v>
      </c>
      <c r="AO23" s="84">
        <v>0</v>
      </c>
      <c r="AP23" s="84">
        <v>0</v>
      </c>
      <c r="AQ23" s="84">
        <v>0</v>
      </c>
      <c r="AR23" s="84">
        <v>0</v>
      </c>
      <c r="AS23" s="84">
        <v>304.90240756663798</v>
      </c>
      <c r="AT23" s="84">
        <v>2.8948122671252503</v>
      </c>
      <c r="AU23" s="84">
        <v>0</v>
      </c>
      <c r="AV23" s="84">
        <v>0</v>
      </c>
      <c r="AW23" s="84">
        <v>0</v>
      </c>
      <c r="AX23" s="84">
        <v>0</v>
      </c>
      <c r="AY23" s="84">
        <v>0</v>
      </c>
      <c r="AZ23" s="84">
        <v>0</v>
      </c>
      <c r="BA23" s="94">
        <v>26.225279449699052</v>
      </c>
      <c r="BB23" s="83">
        <v>1778.1056654246677</v>
      </c>
      <c r="BC23" s="84" t="s">
        <v>221</v>
      </c>
      <c r="BD23" s="84" t="s">
        <v>221</v>
      </c>
      <c r="BE23" s="84" t="s">
        <v>221</v>
      </c>
      <c r="BF23" s="84" t="s">
        <v>221</v>
      </c>
      <c r="BG23" s="84">
        <v>1.7913442247062195</v>
      </c>
      <c r="BH23" s="84">
        <v>0</v>
      </c>
      <c r="BI23" s="84">
        <v>1273.5263208178083</v>
      </c>
      <c r="BJ23" s="84">
        <v>0</v>
      </c>
      <c r="BK23" s="84">
        <v>0</v>
      </c>
      <c r="BL23" s="84">
        <v>0</v>
      </c>
      <c r="BM23" s="84">
        <v>0</v>
      </c>
      <c r="BN23" s="84">
        <v>2.6685774338396864</v>
      </c>
      <c r="BO23" s="84">
        <v>0</v>
      </c>
      <c r="BP23" s="84">
        <v>0</v>
      </c>
      <c r="BQ23" s="84">
        <v>0</v>
      </c>
      <c r="BR23" s="84">
        <v>0</v>
      </c>
      <c r="BS23" s="84">
        <v>0</v>
      </c>
      <c r="BT23" s="84">
        <v>500.11942294831374</v>
      </c>
      <c r="BU23" s="83">
        <v>0</v>
      </c>
      <c r="BV23" s="84">
        <v>0</v>
      </c>
      <c r="BW23" s="84">
        <v>0</v>
      </c>
      <c r="BX23" s="85" t="s">
        <v>221</v>
      </c>
      <c r="BY23" s="85">
        <v>1660.3611349957007</v>
      </c>
      <c r="BZ23" s="85">
        <v>1935.6835769561478</v>
      </c>
    </row>
    <row r="24" spans="1:84" s="86" customFormat="1" ht="11.25" customHeight="1" x14ac:dyDescent="0.25">
      <c r="A24" s="78" t="s">
        <v>226</v>
      </c>
      <c r="B24" s="79" t="s">
        <v>218</v>
      </c>
      <c r="C24" s="80" t="s">
        <v>219</v>
      </c>
      <c r="D24" s="80"/>
      <c r="E24" s="80"/>
      <c r="F24" s="80"/>
      <c r="G24" s="81"/>
      <c r="H24" s="82" t="s">
        <v>220</v>
      </c>
      <c r="I24" s="83">
        <v>7709.0831912439098</v>
      </c>
      <c r="J24" s="90">
        <v>0</v>
      </c>
      <c r="K24" s="84">
        <v>0</v>
      </c>
      <c r="L24" s="84">
        <v>0</v>
      </c>
      <c r="M24" s="84">
        <v>0</v>
      </c>
      <c r="N24" s="84">
        <v>0</v>
      </c>
      <c r="O24" s="84">
        <v>0</v>
      </c>
      <c r="P24" s="84">
        <v>0</v>
      </c>
      <c r="Q24" s="84">
        <v>0</v>
      </c>
      <c r="R24" s="84">
        <v>0</v>
      </c>
      <c r="S24" s="84">
        <v>0</v>
      </c>
      <c r="T24" s="84">
        <v>0</v>
      </c>
      <c r="U24" s="83">
        <v>2.2570937231298367</v>
      </c>
      <c r="V24" s="84">
        <v>2.2570937231298367</v>
      </c>
      <c r="W24" s="84">
        <v>0</v>
      </c>
      <c r="X24" s="84">
        <v>0</v>
      </c>
      <c r="Y24" s="84">
        <v>0</v>
      </c>
      <c r="Z24" s="83">
        <v>0</v>
      </c>
      <c r="AA24" s="84">
        <v>0</v>
      </c>
      <c r="AB24" s="84">
        <v>0</v>
      </c>
      <c r="AC24" s="85">
        <v>0</v>
      </c>
      <c r="AD24" s="90">
        <v>208.30697874271522</v>
      </c>
      <c r="AE24" s="84">
        <v>0</v>
      </c>
      <c r="AF24" s="84">
        <v>0</v>
      </c>
      <c r="AG24" s="84" t="s">
        <v>221</v>
      </c>
      <c r="AH24" s="84" t="s">
        <v>221</v>
      </c>
      <c r="AI24" s="84" t="s">
        <v>221</v>
      </c>
      <c r="AJ24" s="84">
        <v>0</v>
      </c>
      <c r="AK24" s="84">
        <v>0</v>
      </c>
      <c r="AL24" s="84">
        <v>4.3109888220120371</v>
      </c>
      <c r="AM24" s="84">
        <v>125.88104925002388</v>
      </c>
      <c r="AN24" s="84">
        <v>0</v>
      </c>
      <c r="AO24" s="84">
        <v>0</v>
      </c>
      <c r="AP24" s="84">
        <v>0</v>
      </c>
      <c r="AQ24" s="84">
        <v>0</v>
      </c>
      <c r="AR24" s="84">
        <v>0</v>
      </c>
      <c r="AS24" s="84">
        <v>78.114940670679275</v>
      </c>
      <c r="AT24" s="84">
        <v>0</v>
      </c>
      <c r="AU24" s="84">
        <v>0</v>
      </c>
      <c r="AV24" s="84">
        <v>0</v>
      </c>
      <c r="AW24" s="84">
        <v>0</v>
      </c>
      <c r="AX24" s="84">
        <v>0</v>
      </c>
      <c r="AY24" s="84">
        <v>0</v>
      </c>
      <c r="AZ24" s="84">
        <v>0</v>
      </c>
      <c r="BA24" s="94">
        <v>36.070507308684434</v>
      </c>
      <c r="BB24" s="83">
        <v>967.86563640489135</v>
      </c>
      <c r="BC24" s="84" t="s">
        <v>221</v>
      </c>
      <c r="BD24" s="84" t="s">
        <v>221</v>
      </c>
      <c r="BE24" s="84" t="s">
        <v>221</v>
      </c>
      <c r="BF24" s="84" t="s">
        <v>221</v>
      </c>
      <c r="BG24" s="84">
        <v>11.08244960351581</v>
      </c>
      <c r="BH24" s="84">
        <v>0</v>
      </c>
      <c r="BI24" s="84">
        <v>910.67163466131649</v>
      </c>
      <c r="BJ24" s="84">
        <v>0</v>
      </c>
      <c r="BK24" s="84">
        <v>32.650234068978691</v>
      </c>
      <c r="BL24" s="84">
        <v>0</v>
      </c>
      <c r="BM24" s="84">
        <v>0</v>
      </c>
      <c r="BN24" s="84">
        <v>4.9703666523359127</v>
      </c>
      <c r="BO24" s="84">
        <v>3.0131126397248496</v>
      </c>
      <c r="BP24" s="84">
        <v>5.4778387790197769</v>
      </c>
      <c r="BQ24" s="84">
        <v>0</v>
      </c>
      <c r="BR24" s="84">
        <v>0</v>
      </c>
      <c r="BS24" s="84">
        <v>0</v>
      </c>
      <c r="BT24" s="84">
        <v>0</v>
      </c>
      <c r="BU24" s="83">
        <v>0</v>
      </c>
      <c r="BV24" s="84">
        <v>0</v>
      </c>
      <c r="BW24" s="84">
        <v>0</v>
      </c>
      <c r="BX24" s="85" t="s">
        <v>221</v>
      </c>
      <c r="BY24" s="85">
        <v>2613.9294926913153</v>
      </c>
      <c r="BZ24" s="85">
        <v>3880.6534823731731</v>
      </c>
    </row>
    <row r="25" spans="1:84" s="86" customFormat="1" ht="11.25" customHeight="1" x14ac:dyDescent="0.25">
      <c r="A25" s="78" t="s">
        <v>224</v>
      </c>
      <c r="B25" s="79" t="s">
        <v>218</v>
      </c>
      <c r="C25" s="80" t="s">
        <v>219</v>
      </c>
      <c r="D25" s="80"/>
      <c r="E25" s="80"/>
      <c r="F25" s="80"/>
      <c r="G25" s="81"/>
      <c r="H25" s="82" t="s">
        <v>220</v>
      </c>
      <c r="I25" s="83">
        <v>422.53021878284125</v>
      </c>
      <c r="J25" s="90">
        <v>0</v>
      </c>
      <c r="K25" s="84">
        <v>0</v>
      </c>
      <c r="L25" s="84">
        <v>0</v>
      </c>
      <c r="M25" s="84">
        <v>0</v>
      </c>
      <c r="N25" s="84">
        <v>0</v>
      </c>
      <c r="O25" s="84">
        <v>0</v>
      </c>
      <c r="P25" s="84">
        <v>0</v>
      </c>
      <c r="Q25" s="84">
        <v>0</v>
      </c>
      <c r="R25" s="84">
        <v>0</v>
      </c>
      <c r="S25" s="84">
        <v>0</v>
      </c>
      <c r="T25" s="84">
        <v>0</v>
      </c>
      <c r="U25" s="83">
        <v>0</v>
      </c>
      <c r="V25" s="84">
        <v>0</v>
      </c>
      <c r="W25" s="84">
        <v>0</v>
      </c>
      <c r="X25" s="84">
        <v>0</v>
      </c>
      <c r="Y25" s="84">
        <v>0</v>
      </c>
      <c r="Z25" s="83">
        <v>0</v>
      </c>
      <c r="AA25" s="84">
        <v>0</v>
      </c>
      <c r="AB25" s="84">
        <v>0</v>
      </c>
      <c r="AC25" s="85">
        <v>0</v>
      </c>
      <c r="AD25" s="90">
        <v>3.7523168051972866</v>
      </c>
      <c r="AE25" s="84">
        <v>0</v>
      </c>
      <c r="AF25" s="84">
        <v>0</v>
      </c>
      <c r="AG25" s="84" t="s">
        <v>221</v>
      </c>
      <c r="AH25" s="84" t="s">
        <v>221</v>
      </c>
      <c r="AI25" s="84" t="s">
        <v>221</v>
      </c>
      <c r="AJ25" s="84">
        <v>0</v>
      </c>
      <c r="AK25" s="84">
        <v>0</v>
      </c>
      <c r="AL25" s="84">
        <v>1.5525222126683864</v>
      </c>
      <c r="AM25" s="84">
        <v>0</v>
      </c>
      <c r="AN25" s="84">
        <v>0</v>
      </c>
      <c r="AO25" s="84">
        <v>0</v>
      </c>
      <c r="AP25" s="84">
        <v>0</v>
      </c>
      <c r="AQ25" s="84">
        <v>0</v>
      </c>
      <c r="AR25" s="84">
        <v>0</v>
      </c>
      <c r="AS25" s="84">
        <v>2.1660217827457724</v>
      </c>
      <c r="AT25" s="84">
        <v>3.3772809783127924E-2</v>
      </c>
      <c r="AU25" s="84">
        <v>0</v>
      </c>
      <c r="AV25" s="84">
        <v>0</v>
      </c>
      <c r="AW25" s="84">
        <v>0</v>
      </c>
      <c r="AX25" s="84">
        <v>0</v>
      </c>
      <c r="AY25" s="84">
        <v>0</v>
      </c>
      <c r="AZ25" s="84">
        <v>0</v>
      </c>
      <c r="BA25" s="94">
        <v>0</v>
      </c>
      <c r="BB25" s="83">
        <v>12.061717779688545</v>
      </c>
      <c r="BC25" s="84" t="s">
        <v>221</v>
      </c>
      <c r="BD25" s="84" t="s">
        <v>221</v>
      </c>
      <c r="BE25" s="84" t="s">
        <v>221</v>
      </c>
      <c r="BF25" s="84" t="s">
        <v>221</v>
      </c>
      <c r="BG25" s="84">
        <v>0</v>
      </c>
      <c r="BH25" s="84">
        <v>12.061717779688545</v>
      </c>
      <c r="BI25" s="84">
        <v>0</v>
      </c>
      <c r="BJ25" s="84">
        <v>0</v>
      </c>
      <c r="BK25" s="84">
        <v>0</v>
      </c>
      <c r="BL25" s="84">
        <v>0</v>
      </c>
      <c r="BM25" s="84">
        <v>0</v>
      </c>
      <c r="BN25" s="84">
        <v>0</v>
      </c>
      <c r="BO25" s="84">
        <v>0</v>
      </c>
      <c r="BP25" s="84">
        <v>0</v>
      </c>
      <c r="BQ25" s="84">
        <v>0</v>
      </c>
      <c r="BR25" s="84">
        <v>0</v>
      </c>
      <c r="BS25" s="84">
        <v>0</v>
      </c>
      <c r="BT25" s="84">
        <v>0</v>
      </c>
      <c r="BU25" s="83">
        <v>0</v>
      </c>
      <c r="BV25" s="84">
        <v>0</v>
      </c>
      <c r="BW25" s="84">
        <v>0</v>
      </c>
      <c r="BX25" s="85" t="s">
        <v>221</v>
      </c>
      <c r="BY25" s="85">
        <v>337.00878952899586</v>
      </c>
      <c r="BZ25" s="85">
        <v>69.70739466895958</v>
      </c>
    </row>
    <row r="26" spans="1:84" s="86" customFormat="1" ht="11.25" customHeight="1" x14ac:dyDescent="0.25">
      <c r="A26" s="78" t="s">
        <v>225</v>
      </c>
      <c r="B26" s="79" t="s">
        <v>218</v>
      </c>
      <c r="C26" s="80" t="s">
        <v>219</v>
      </c>
      <c r="D26" s="80"/>
      <c r="E26" s="80"/>
      <c r="F26" s="80"/>
      <c r="G26" s="81"/>
      <c r="H26" s="82" t="s">
        <v>220</v>
      </c>
      <c r="I26" s="83">
        <v>4561.8252603420269</v>
      </c>
      <c r="J26" s="90">
        <v>0</v>
      </c>
      <c r="K26" s="84">
        <v>0</v>
      </c>
      <c r="L26" s="84">
        <v>0</v>
      </c>
      <c r="M26" s="84">
        <v>0</v>
      </c>
      <c r="N26" s="84">
        <v>0</v>
      </c>
      <c r="O26" s="84">
        <v>0</v>
      </c>
      <c r="P26" s="84">
        <v>0</v>
      </c>
      <c r="Q26" s="84">
        <v>0</v>
      </c>
      <c r="R26" s="84">
        <v>0</v>
      </c>
      <c r="S26" s="84">
        <v>0</v>
      </c>
      <c r="T26" s="84">
        <v>0</v>
      </c>
      <c r="U26" s="83">
        <v>0</v>
      </c>
      <c r="V26" s="84">
        <v>0</v>
      </c>
      <c r="W26" s="84">
        <v>0</v>
      </c>
      <c r="X26" s="84">
        <v>0</v>
      </c>
      <c r="Y26" s="84">
        <v>0</v>
      </c>
      <c r="Z26" s="83">
        <v>0</v>
      </c>
      <c r="AA26" s="84">
        <v>0</v>
      </c>
      <c r="AB26" s="84">
        <v>0</v>
      </c>
      <c r="AC26" s="85">
        <v>0</v>
      </c>
      <c r="AD26" s="90">
        <v>65.212095156205208</v>
      </c>
      <c r="AE26" s="84">
        <v>0</v>
      </c>
      <c r="AF26" s="84">
        <v>0</v>
      </c>
      <c r="AG26" s="84" t="s">
        <v>221</v>
      </c>
      <c r="AH26" s="84" t="s">
        <v>221</v>
      </c>
      <c r="AI26" s="84" t="s">
        <v>221</v>
      </c>
      <c r="AJ26" s="84">
        <v>0</v>
      </c>
      <c r="AK26" s="84">
        <v>0</v>
      </c>
      <c r="AL26" s="84">
        <v>5.5053979172637808</v>
      </c>
      <c r="AM26" s="84">
        <v>0</v>
      </c>
      <c r="AN26" s="84">
        <v>0</v>
      </c>
      <c r="AO26" s="84">
        <v>0</v>
      </c>
      <c r="AP26" s="84">
        <v>0</v>
      </c>
      <c r="AQ26" s="84">
        <v>10.294258144645074</v>
      </c>
      <c r="AR26" s="84">
        <v>0</v>
      </c>
      <c r="AS26" s="84">
        <v>49.41243909429636</v>
      </c>
      <c r="AT26" s="84">
        <v>0</v>
      </c>
      <c r="AU26" s="84">
        <v>0</v>
      </c>
      <c r="AV26" s="84">
        <v>0</v>
      </c>
      <c r="AW26" s="84">
        <v>0</v>
      </c>
      <c r="AX26" s="84">
        <v>0</v>
      </c>
      <c r="AY26" s="84">
        <v>0</v>
      </c>
      <c r="AZ26" s="84">
        <v>0</v>
      </c>
      <c r="BA26" s="94">
        <v>7.6956147893379185</v>
      </c>
      <c r="BB26" s="83">
        <v>966.03611349957009</v>
      </c>
      <c r="BC26" s="84" t="s">
        <v>221</v>
      </c>
      <c r="BD26" s="84" t="s">
        <v>221</v>
      </c>
      <c r="BE26" s="84" t="s">
        <v>221</v>
      </c>
      <c r="BF26" s="84" t="s">
        <v>221</v>
      </c>
      <c r="BG26" s="84">
        <v>0</v>
      </c>
      <c r="BH26" s="84">
        <v>0</v>
      </c>
      <c r="BI26" s="84">
        <v>501.33753702111397</v>
      </c>
      <c r="BJ26" s="84">
        <v>0</v>
      </c>
      <c r="BK26" s="84">
        <v>0</v>
      </c>
      <c r="BL26" s="84">
        <v>0</v>
      </c>
      <c r="BM26" s="84">
        <v>0</v>
      </c>
      <c r="BN26" s="84">
        <v>0</v>
      </c>
      <c r="BO26" s="84">
        <v>0</v>
      </c>
      <c r="BP26" s="84">
        <v>0</v>
      </c>
      <c r="BQ26" s="84">
        <v>0</v>
      </c>
      <c r="BR26" s="84">
        <v>0</v>
      </c>
      <c r="BS26" s="84">
        <v>0</v>
      </c>
      <c r="BT26" s="84">
        <v>464.69857647845606</v>
      </c>
      <c r="BU26" s="83">
        <v>0</v>
      </c>
      <c r="BV26" s="84">
        <v>0</v>
      </c>
      <c r="BW26" s="84">
        <v>0</v>
      </c>
      <c r="BX26" s="85" t="s">
        <v>221</v>
      </c>
      <c r="BY26" s="85">
        <v>109.29588229674214</v>
      </c>
      <c r="BZ26" s="85">
        <v>3413.5855546001717</v>
      </c>
    </row>
    <row r="30" spans="1:84" ht="67.5" x14ac:dyDescent="0.25">
      <c r="A30" s="67"/>
      <c r="B30" s="67"/>
      <c r="C30" s="67"/>
      <c r="D30" s="68" t="s">
        <v>227</v>
      </c>
      <c r="E30" s="68"/>
      <c r="F30" s="69">
        <v>2017</v>
      </c>
      <c r="G30" s="70"/>
      <c r="H30" s="71"/>
      <c r="I30" s="72" t="s">
        <v>32</v>
      </c>
      <c r="J30" s="89" t="s">
        <v>156</v>
      </c>
      <c r="K30" s="73" t="s">
        <v>157</v>
      </c>
      <c r="L30" s="73" t="s">
        <v>158</v>
      </c>
      <c r="M30" s="73" t="s">
        <v>159</v>
      </c>
      <c r="N30" s="73" t="s">
        <v>160</v>
      </c>
      <c r="O30" s="73" t="s">
        <v>161</v>
      </c>
      <c r="P30" s="73" t="s">
        <v>162</v>
      </c>
      <c r="Q30" s="73" t="s">
        <v>163</v>
      </c>
      <c r="R30" s="73" t="s">
        <v>164</v>
      </c>
      <c r="S30" s="73" t="s">
        <v>165</v>
      </c>
      <c r="T30" s="73" t="s">
        <v>166</v>
      </c>
      <c r="U30" s="72" t="s">
        <v>167</v>
      </c>
      <c r="V30" s="73" t="s">
        <v>168</v>
      </c>
      <c r="W30" s="73" t="s">
        <v>169</v>
      </c>
      <c r="X30" s="73" t="s">
        <v>170</v>
      </c>
      <c r="Y30" s="73" t="s">
        <v>171</v>
      </c>
      <c r="Z30" s="72" t="s">
        <v>172</v>
      </c>
      <c r="AA30" s="73" t="s">
        <v>100</v>
      </c>
      <c r="AB30" s="73" t="s">
        <v>173</v>
      </c>
      <c r="AC30" s="72" t="s">
        <v>174</v>
      </c>
      <c r="AD30" s="89" t="s">
        <v>175</v>
      </c>
      <c r="AE30" s="73" t="s">
        <v>176</v>
      </c>
      <c r="AF30" s="73" t="s">
        <v>177</v>
      </c>
      <c r="AG30" s="73" t="s">
        <v>178</v>
      </c>
      <c r="AH30" s="73" t="s">
        <v>179</v>
      </c>
      <c r="AI30" s="73" t="s">
        <v>180</v>
      </c>
      <c r="AJ30" s="73" t="s">
        <v>181</v>
      </c>
      <c r="AK30" s="73" t="s">
        <v>182</v>
      </c>
      <c r="AL30" s="73" t="s">
        <v>183</v>
      </c>
      <c r="AM30" s="74" t="s">
        <v>184</v>
      </c>
      <c r="AN30" s="73" t="s">
        <v>185</v>
      </c>
      <c r="AO30" s="73" t="s">
        <v>186</v>
      </c>
      <c r="AP30" s="74" t="s">
        <v>187</v>
      </c>
      <c r="AQ30" s="73" t="s">
        <v>104</v>
      </c>
      <c r="AR30" s="73" t="s">
        <v>188</v>
      </c>
      <c r="AS30" s="74" t="s">
        <v>189</v>
      </c>
      <c r="AT30" s="73" t="s">
        <v>190</v>
      </c>
      <c r="AU30" s="74" t="s">
        <v>191</v>
      </c>
      <c r="AV30" s="73" t="s">
        <v>192</v>
      </c>
      <c r="AW30" s="73" t="s">
        <v>193</v>
      </c>
      <c r="AX30" s="73" t="s">
        <v>194</v>
      </c>
      <c r="AY30" s="73" t="s">
        <v>195</v>
      </c>
      <c r="AZ30" s="73" t="s">
        <v>196</v>
      </c>
      <c r="BA30" s="89" t="s">
        <v>24</v>
      </c>
      <c r="BB30" s="72" t="s">
        <v>197</v>
      </c>
      <c r="BC30" s="73" t="s">
        <v>198</v>
      </c>
      <c r="BD30" s="73" t="s">
        <v>199</v>
      </c>
      <c r="BE30" s="73" t="s">
        <v>200</v>
      </c>
      <c r="BF30" s="73" t="s">
        <v>201</v>
      </c>
      <c r="BG30" s="73" t="s">
        <v>109</v>
      </c>
      <c r="BH30" s="73" t="s">
        <v>26</v>
      </c>
      <c r="BI30" s="73" t="s">
        <v>202</v>
      </c>
      <c r="BJ30" s="73" t="s">
        <v>203</v>
      </c>
      <c r="BK30" s="73" t="s">
        <v>204</v>
      </c>
      <c r="BL30" s="73" t="s">
        <v>205</v>
      </c>
      <c r="BM30" s="73" t="s">
        <v>206</v>
      </c>
      <c r="BN30" s="73" t="s">
        <v>207</v>
      </c>
      <c r="BO30" s="73" t="s">
        <v>208</v>
      </c>
      <c r="BP30" s="73" t="s">
        <v>209</v>
      </c>
      <c r="BQ30" s="73" t="s">
        <v>210</v>
      </c>
      <c r="BR30" s="73" t="s">
        <v>211</v>
      </c>
      <c r="BS30" s="73" t="s">
        <v>114</v>
      </c>
      <c r="BT30" s="73" t="s">
        <v>212</v>
      </c>
      <c r="BU30" s="72" t="s">
        <v>213</v>
      </c>
      <c r="BV30" s="73" t="s">
        <v>214</v>
      </c>
      <c r="BW30" s="73" t="s">
        <v>215</v>
      </c>
      <c r="BX30" s="72" t="s">
        <v>216</v>
      </c>
      <c r="BY30" s="72" t="s">
        <v>217</v>
      </c>
      <c r="BZ30" s="72" t="s">
        <v>27</v>
      </c>
    </row>
    <row r="31" spans="1:84" x14ac:dyDescent="0.25">
      <c r="A31" s="78" t="s">
        <v>222</v>
      </c>
      <c r="B31" s="79" t="s">
        <v>218</v>
      </c>
      <c r="C31" s="80" t="s">
        <v>219</v>
      </c>
      <c r="D31" s="80"/>
      <c r="E31" s="80"/>
      <c r="F31" s="80"/>
      <c r="G31" s="81"/>
      <c r="H31" s="82" t="s">
        <v>220</v>
      </c>
      <c r="I31" s="88">
        <f>I22*0.041868</f>
        <v>192.22818480000001</v>
      </c>
      <c r="J31" s="92">
        <f t="shared" ref="J31:BU32" si="12">J22*0.041868</f>
        <v>0</v>
      </c>
      <c r="K31" s="88">
        <f t="shared" si="12"/>
        <v>0</v>
      </c>
      <c r="L31" s="88">
        <f t="shared" si="12"/>
        <v>0</v>
      </c>
      <c r="M31" s="88">
        <f t="shared" si="12"/>
        <v>0</v>
      </c>
      <c r="N31" s="88">
        <f t="shared" si="12"/>
        <v>0</v>
      </c>
      <c r="O31" s="88">
        <f t="shared" si="12"/>
        <v>0</v>
      </c>
      <c r="P31" s="88">
        <f t="shared" si="12"/>
        <v>0</v>
      </c>
      <c r="Q31" s="88">
        <f t="shared" si="12"/>
        <v>0</v>
      </c>
      <c r="R31" s="88">
        <f t="shared" si="12"/>
        <v>0</v>
      </c>
      <c r="S31" s="88">
        <f t="shared" si="12"/>
        <v>0</v>
      </c>
      <c r="T31" s="88">
        <f t="shared" si="12"/>
        <v>0</v>
      </c>
      <c r="U31" s="88">
        <f t="shared" si="12"/>
        <v>0</v>
      </c>
      <c r="V31" s="88">
        <f t="shared" si="12"/>
        <v>0</v>
      </c>
      <c r="W31" s="88">
        <f t="shared" si="12"/>
        <v>0</v>
      </c>
      <c r="X31" s="88">
        <f t="shared" si="12"/>
        <v>0</v>
      </c>
      <c r="Y31" s="88">
        <f t="shared" si="12"/>
        <v>0</v>
      </c>
      <c r="Z31" s="88">
        <f t="shared" si="12"/>
        <v>0</v>
      </c>
      <c r="AA31" s="88">
        <f t="shared" si="12"/>
        <v>0</v>
      </c>
      <c r="AB31" s="88">
        <f t="shared" si="12"/>
        <v>0</v>
      </c>
      <c r="AC31" s="88">
        <f t="shared" si="12"/>
        <v>0</v>
      </c>
      <c r="AD31" s="92">
        <f t="shared" si="12"/>
        <v>9.1587104999999998</v>
      </c>
      <c r="AE31" s="88">
        <f t="shared" si="12"/>
        <v>0</v>
      </c>
      <c r="AF31" s="88">
        <f t="shared" si="12"/>
        <v>0</v>
      </c>
      <c r="AG31" s="88" t="e">
        <f t="shared" si="12"/>
        <v>#VALUE!</v>
      </c>
      <c r="AH31" s="88" t="e">
        <f t="shared" si="12"/>
        <v>#VALUE!</v>
      </c>
      <c r="AI31" s="88" t="e">
        <f t="shared" si="12"/>
        <v>#VALUE!</v>
      </c>
      <c r="AJ31" s="88">
        <f t="shared" si="12"/>
        <v>0</v>
      </c>
      <c r="AK31" s="88">
        <f t="shared" si="12"/>
        <v>0</v>
      </c>
      <c r="AL31" s="88">
        <f t="shared" si="12"/>
        <v>0.88393600000000006</v>
      </c>
      <c r="AM31" s="88">
        <f t="shared" si="12"/>
        <v>0.86163360000000011</v>
      </c>
      <c r="AN31" s="88">
        <f t="shared" si="12"/>
        <v>0</v>
      </c>
      <c r="AO31" s="88">
        <f t="shared" si="12"/>
        <v>0</v>
      </c>
      <c r="AP31" s="88">
        <f t="shared" si="12"/>
        <v>0</v>
      </c>
      <c r="AQ31" s="88">
        <f t="shared" si="12"/>
        <v>0</v>
      </c>
      <c r="AR31" s="88">
        <f t="shared" si="12"/>
        <v>0</v>
      </c>
      <c r="AS31" s="88">
        <f t="shared" si="12"/>
        <v>7.4032833</v>
      </c>
      <c r="AT31" s="88">
        <f t="shared" si="12"/>
        <v>9.8575999999999993E-3</v>
      </c>
      <c r="AU31" s="88">
        <f t="shared" si="12"/>
        <v>0</v>
      </c>
      <c r="AV31" s="88">
        <f t="shared" si="12"/>
        <v>0</v>
      </c>
      <c r="AW31" s="88">
        <f t="shared" si="12"/>
        <v>0</v>
      </c>
      <c r="AX31" s="88">
        <f t="shared" si="12"/>
        <v>0</v>
      </c>
      <c r="AY31" s="88">
        <f t="shared" si="12"/>
        <v>0</v>
      </c>
      <c r="AZ31" s="88">
        <f t="shared" si="12"/>
        <v>0</v>
      </c>
      <c r="BA31" s="92">
        <f t="shared" si="12"/>
        <v>26.046647100000001</v>
      </c>
      <c r="BB31" s="88">
        <f t="shared" si="12"/>
        <v>51.418703000000008</v>
      </c>
      <c r="BC31" s="88" t="e">
        <f t="shared" si="12"/>
        <v>#VALUE!</v>
      </c>
      <c r="BD31" s="88" t="e">
        <f t="shared" si="12"/>
        <v>#VALUE!</v>
      </c>
      <c r="BE31" s="88" t="e">
        <f t="shared" si="12"/>
        <v>#VALUE!</v>
      </c>
      <c r="BF31" s="88" t="e">
        <f t="shared" si="12"/>
        <v>#VALUE!</v>
      </c>
      <c r="BG31" s="88">
        <f t="shared" si="12"/>
        <v>0.50740399999999997</v>
      </c>
      <c r="BH31" s="88">
        <f t="shared" si="12"/>
        <v>0</v>
      </c>
      <c r="BI31" s="88">
        <f t="shared" si="12"/>
        <v>43.205941000000003</v>
      </c>
      <c r="BJ31" s="88">
        <f t="shared" si="12"/>
        <v>0</v>
      </c>
      <c r="BK31" s="88">
        <f t="shared" si="12"/>
        <v>1.3392090000000001</v>
      </c>
      <c r="BL31" s="88">
        <f t="shared" si="12"/>
        <v>0</v>
      </c>
      <c r="BM31" s="88">
        <f t="shared" si="12"/>
        <v>0</v>
      </c>
      <c r="BN31" s="88">
        <f t="shared" si="12"/>
        <v>0</v>
      </c>
      <c r="BO31" s="88">
        <f t="shared" si="12"/>
        <v>0</v>
      </c>
      <c r="BP31" s="88">
        <f t="shared" si="12"/>
        <v>0</v>
      </c>
      <c r="BQ31" s="88">
        <f t="shared" si="12"/>
        <v>0</v>
      </c>
      <c r="BR31" s="88">
        <f t="shared" si="12"/>
        <v>0</v>
      </c>
      <c r="BS31" s="88">
        <f t="shared" si="12"/>
        <v>0</v>
      </c>
      <c r="BT31" s="88">
        <f t="shared" si="12"/>
        <v>6.3661490000000009</v>
      </c>
      <c r="BU31" s="88">
        <f t="shared" si="12"/>
        <v>0</v>
      </c>
      <c r="BV31" s="88">
        <f t="shared" ref="BV31:BZ32" si="13">BV22*0.041868</f>
        <v>0</v>
      </c>
      <c r="BW31" s="88">
        <f t="shared" si="13"/>
        <v>0</v>
      </c>
      <c r="BX31" s="88" t="e">
        <f t="shared" si="13"/>
        <v>#VALUE!</v>
      </c>
      <c r="BY31" s="88">
        <f t="shared" si="13"/>
        <v>70.093986999999998</v>
      </c>
      <c r="BZ31" s="88">
        <f t="shared" si="13"/>
        <v>35.510137199999996</v>
      </c>
    </row>
    <row r="32" spans="1:84" x14ac:dyDescent="0.25">
      <c r="A32" s="78" t="s">
        <v>223</v>
      </c>
      <c r="B32" s="79" t="s">
        <v>218</v>
      </c>
      <c r="C32" s="80" t="s">
        <v>219</v>
      </c>
      <c r="D32" s="80"/>
      <c r="E32" s="80"/>
      <c r="F32" s="80"/>
      <c r="G32" s="81"/>
      <c r="H32" s="82" t="s">
        <v>220</v>
      </c>
      <c r="I32" s="88">
        <f t="shared" ref="I32:X32" si="14">I23*0.041868</f>
        <v>241.23338200000001</v>
      </c>
      <c r="J32" s="92">
        <f t="shared" si="14"/>
        <v>0</v>
      </c>
      <c r="K32" s="88">
        <f t="shared" si="14"/>
        <v>0</v>
      </c>
      <c r="L32" s="88">
        <f t="shared" si="14"/>
        <v>0</v>
      </c>
      <c r="M32" s="88">
        <f t="shared" si="14"/>
        <v>0</v>
      </c>
      <c r="N32" s="88">
        <f t="shared" si="14"/>
        <v>0</v>
      </c>
      <c r="O32" s="88">
        <f t="shared" si="14"/>
        <v>0</v>
      </c>
      <c r="P32" s="88">
        <f t="shared" si="14"/>
        <v>0</v>
      </c>
      <c r="Q32" s="88">
        <f t="shared" si="14"/>
        <v>0</v>
      </c>
      <c r="R32" s="88">
        <f t="shared" si="14"/>
        <v>0</v>
      </c>
      <c r="S32" s="88">
        <f t="shared" si="14"/>
        <v>0</v>
      </c>
      <c r="T32" s="88">
        <f t="shared" si="14"/>
        <v>0</v>
      </c>
      <c r="U32" s="88">
        <f t="shared" si="14"/>
        <v>0</v>
      </c>
      <c r="V32" s="88">
        <f t="shared" si="14"/>
        <v>0</v>
      </c>
      <c r="W32" s="88">
        <f t="shared" si="14"/>
        <v>0</v>
      </c>
      <c r="X32" s="88">
        <f t="shared" si="14"/>
        <v>0</v>
      </c>
      <c r="Y32" s="88">
        <f t="shared" si="12"/>
        <v>0</v>
      </c>
      <c r="Z32" s="88">
        <f t="shared" si="12"/>
        <v>0.14880000000000002</v>
      </c>
      <c r="AA32" s="88">
        <f t="shared" si="12"/>
        <v>0.14880000000000002</v>
      </c>
      <c r="AB32" s="88">
        <f t="shared" si="12"/>
        <v>0</v>
      </c>
      <c r="AC32" s="88">
        <f t="shared" si="12"/>
        <v>0</v>
      </c>
      <c r="AD32" s="92">
        <f t="shared" si="12"/>
        <v>14.981653999999999</v>
      </c>
      <c r="AE32" s="88">
        <f t="shared" si="12"/>
        <v>0</v>
      </c>
      <c r="AF32" s="88">
        <f t="shared" si="12"/>
        <v>0</v>
      </c>
      <c r="AG32" s="88" t="e">
        <f t="shared" si="12"/>
        <v>#VALUE!</v>
      </c>
      <c r="AH32" s="88" t="e">
        <f t="shared" si="12"/>
        <v>#VALUE!</v>
      </c>
      <c r="AI32" s="88" t="e">
        <f t="shared" si="12"/>
        <v>#VALUE!</v>
      </c>
      <c r="AJ32" s="88">
        <f t="shared" si="12"/>
        <v>0</v>
      </c>
      <c r="AK32" s="88">
        <f t="shared" si="12"/>
        <v>0</v>
      </c>
      <c r="AL32" s="88">
        <f t="shared" si="12"/>
        <v>0.1852</v>
      </c>
      <c r="AM32" s="88">
        <f t="shared" si="12"/>
        <v>1.9095999999999997</v>
      </c>
      <c r="AN32" s="88">
        <f t="shared" si="12"/>
        <v>0</v>
      </c>
      <c r="AO32" s="88">
        <f t="shared" si="12"/>
        <v>0</v>
      </c>
      <c r="AP32" s="88">
        <f t="shared" si="12"/>
        <v>0</v>
      </c>
      <c r="AQ32" s="88">
        <f t="shared" si="12"/>
        <v>0</v>
      </c>
      <c r="AR32" s="88">
        <f t="shared" si="12"/>
        <v>0</v>
      </c>
      <c r="AS32" s="88">
        <f t="shared" si="12"/>
        <v>12.765654</v>
      </c>
      <c r="AT32" s="88">
        <f t="shared" si="12"/>
        <v>0.12119999999999999</v>
      </c>
      <c r="AU32" s="88">
        <f t="shared" si="12"/>
        <v>0</v>
      </c>
      <c r="AV32" s="88">
        <f t="shared" si="12"/>
        <v>0</v>
      </c>
      <c r="AW32" s="88">
        <f t="shared" si="12"/>
        <v>0</v>
      </c>
      <c r="AX32" s="88">
        <f t="shared" si="12"/>
        <v>0</v>
      </c>
      <c r="AY32" s="88">
        <f t="shared" si="12"/>
        <v>0</v>
      </c>
      <c r="AZ32" s="88">
        <f t="shared" si="12"/>
        <v>0</v>
      </c>
      <c r="BA32" s="92">
        <f t="shared" si="12"/>
        <v>1.0979999999999999</v>
      </c>
      <c r="BB32" s="88">
        <f t="shared" si="12"/>
        <v>74.445727999999988</v>
      </c>
      <c r="BC32" s="88" t="e">
        <f t="shared" si="12"/>
        <v>#VALUE!</v>
      </c>
      <c r="BD32" s="88" t="e">
        <f t="shared" si="12"/>
        <v>#VALUE!</v>
      </c>
      <c r="BE32" s="88" t="e">
        <f t="shared" si="12"/>
        <v>#VALUE!</v>
      </c>
      <c r="BF32" s="88" t="e">
        <f t="shared" si="12"/>
        <v>#VALUE!</v>
      </c>
      <c r="BG32" s="88">
        <f t="shared" si="12"/>
        <v>7.4999999999999997E-2</v>
      </c>
      <c r="BH32" s="88">
        <f t="shared" si="12"/>
        <v>0</v>
      </c>
      <c r="BI32" s="88">
        <f t="shared" si="12"/>
        <v>53.32</v>
      </c>
      <c r="BJ32" s="88">
        <f t="shared" si="12"/>
        <v>0</v>
      </c>
      <c r="BK32" s="88">
        <f t="shared" si="12"/>
        <v>0</v>
      </c>
      <c r="BL32" s="88">
        <f t="shared" si="12"/>
        <v>0</v>
      </c>
      <c r="BM32" s="88">
        <f t="shared" si="12"/>
        <v>0</v>
      </c>
      <c r="BN32" s="88">
        <f t="shared" si="12"/>
        <v>0.11172799999999999</v>
      </c>
      <c r="BO32" s="88">
        <f t="shared" si="12"/>
        <v>0</v>
      </c>
      <c r="BP32" s="88">
        <f t="shared" si="12"/>
        <v>0</v>
      </c>
      <c r="BQ32" s="88">
        <f t="shared" si="12"/>
        <v>0</v>
      </c>
      <c r="BR32" s="88">
        <f t="shared" si="12"/>
        <v>0</v>
      </c>
      <c r="BS32" s="88">
        <f t="shared" si="12"/>
        <v>0</v>
      </c>
      <c r="BT32" s="88">
        <f t="shared" si="12"/>
        <v>20.939</v>
      </c>
      <c r="BU32" s="88">
        <f t="shared" si="12"/>
        <v>0</v>
      </c>
      <c r="BV32" s="88">
        <f t="shared" si="13"/>
        <v>0</v>
      </c>
      <c r="BW32" s="88">
        <f t="shared" si="13"/>
        <v>0</v>
      </c>
      <c r="BX32" s="88" t="e">
        <f t="shared" si="13"/>
        <v>#VALUE!</v>
      </c>
      <c r="BY32" s="88">
        <f t="shared" si="13"/>
        <v>69.516000000000005</v>
      </c>
      <c r="BZ32" s="88">
        <f t="shared" si="13"/>
        <v>81.043199999999999</v>
      </c>
    </row>
    <row r="33" spans="1:78" x14ac:dyDescent="0.25">
      <c r="A33" s="78" t="s">
        <v>226</v>
      </c>
      <c r="B33" s="79" t="s">
        <v>218</v>
      </c>
      <c r="C33" s="80" t="s">
        <v>219</v>
      </c>
      <c r="D33" s="80"/>
      <c r="E33" s="80"/>
      <c r="F33" s="80"/>
      <c r="G33" s="81"/>
      <c r="H33" s="82" t="s">
        <v>220</v>
      </c>
      <c r="I33" s="88">
        <f t="shared" ref="I33:AN33" si="15">I24*0.041868</f>
        <v>322.76389505100002</v>
      </c>
      <c r="J33" s="92">
        <f t="shared" si="15"/>
        <v>0</v>
      </c>
      <c r="K33" s="88">
        <f t="shared" si="15"/>
        <v>0</v>
      </c>
      <c r="L33" s="88">
        <f t="shared" si="15"/>
        <v>0</v>
      </c>
      <c r="M33" s="88">
        <f t="shared" si="15"/>
        <v>0</v>
      </c>
      <c r="N33" s="88">
        <f t="shared" si="15"/>
        <v>0</v>
      </c>
      <c r="O33" s="88">
        <f t="shared" si="15"/>
        <v>0</v>
      </c>
      <c r="P33" s="88">
        <f t="shared" si="15"/>
        <v>0</v>
      </c>
      <c r="Q33" s="88">
        <f t="shared" si="15"/>
        <v>0</v>
      </c>
      <c r="R33" s="88">
        <f t="shared" si="15"/>
        <v>0</v>
      </c>
      <c r="S33" s="88">
        <f t="shared" si="15"/>
        <v>0</v>
      </c>
      <c r="T33" s="88">
        <f t="shared" si="15"/>
        <v>0</v>
      </c>
      <c r="U33" s="88">
        <f t="shared" si="15"/>
        <v>9.4500000000000015E-2</v>
      </c>
      <c r="V33" s="88">
        <f t="shared" si="15"/>
        <v>9.4500000000000015E-2</v>
      </c>
      <c r="W33" s="88">
        <f t="shared" si="15"/>
        <v>0</v>
      </c>
      <c r="X33" s="88">
        <f t="shared" si="15"/>
        <v>0</v>
      </c>
      <c r="Y33" s="88">
        <f t="shared" si="15"/>
        <v>0</v>
      </c>
      <c r="Z33" s="88">
        <f t="shared" si="15"/>
        <v>0</v>
      </c>
      <c r="AA33" s="88">
        <f t="shared" si="15"/>
        <v>0</v>
      </c>
      <c r="AB33" s="88">
        <f t="shared" si="15"/>
        <v>0</v>
      </c>
      <c r="AC33" s="88">
        <f t="shared" si="15"/>
        <v>0</v>
      </c>
      <c r="AD33" s="92">
        <f t="shared" si="15"/>
        <v>8.7213965860000009</v>
      </c>
      <c r="AE33" s="88">
        <f t="shared" si="15"/>
        <v>0</v>
      </c>
      <c r="AF33" s="88">
        <f t="shared" si="15"/>
        <v>0</v>
      </c>
      <c r="AG33" s="88" t="e">
        <f t="shared" si="15"/>
        <v>#VALUE!</v>
      </c>
      <c r="AH33" s="88" t="e">
        <f t="shared" si="15"/>
        <v>#VALUE!</v>
      </c>
      <c r="AI33" s="88" t="e">
        <f t="shared" si="15"/>
        <v>#VALUE!</v>
      </c>
      <c r="AJ33" s="88">
        <f t="shared" si="15"/>
        <v>0</v>
      </c>
      <c r="AK33" s="88">
        <f t="shared" si="15"/>
        <v>0</v>
      </c>
      <c r="AL33" s="88">
        <f t="shared" si="15"/>
        <v>0.18049247999999998</v>
      </c>
      <c r="AM33" s="88">
        <f t="shared" si="15"/>
        <v>5.2703877700000001</v>
      </c>
      <c r="AN33" s="88">
        <f t="shared" si="15"/>
        <v>0</v>
      </c>
      <c r="AO33" s="88">
        <f t="shared" ref="AO33:BT33" si="16">AO24*0.041868</f>
        <v>0</v>
      </c>
      <c r="AP33" s="88">
        <f t="shared" si="16"/>
        <v>0</v>
      </c>
      <c r="AQ33" s="88">
        <f t="shared" si="16"/>
        <v>0</v>
      </c>
      <c r="AR33" s="88">
        <f t="shared" si="16"/>
        <v>0</v>
      </c>
      <c r="AS33" s="88">
        <f t="shared" si="16"/>
        <v>3.270516336</v>
      </c>
      <c r="AT33" s="88">
        <f t="shared" si="16"/>
        <v>0</v>
      </c>
      <c r="AU33" s="88">
        <f t="shared" si="16"/>
        <v>0</v>
      </c>
      <c r="AV33" s="88">
        <f t="shared" si="16"/>
        <v>0</v>
      </c>
      <c r="AW33" s="88">
        <f t="shared" si="16"/>
        <v>0</v>
      </c>
      <c r="AX33" s="88">
        <f t="shared" si="16"/>
        <v>0</v>
      </c>
      <c r="AY33" s="88">
        <f t="shared" si="16"/>
        <v>0</v>
      </c>
      <c r="AZ33" s="88">
        <f t="shared" si="16"/>
        <v>0</v>
      </c>
      <c r="BA33" s="92">
        <f t="shared" si="16"/>
        <v>1.5102</v>
      </c>
      <c r="BB33" s="88">
        <f t="shared" si="16"/>
        <v>40.522598464999994</v>
      </c>
      <c r="BC33" s="88" t="e">
        <f t="shared" si="16"/>
        <v>#VALUE!</v>
      </c>
      <c r="BD33" s="88" t="e">
        <f t="shared" si="16"/>
        <v>#VALUE!</v>
      </c>
      <c r="BE33" s="88" t="e">
        <f t="shared" si="16"/>
        <v>#VALUE!</v>
      </c>
      <c r="BF33" s="88" t="e">
        <f t="shared" si="16"/>
        <v>#VALUE!</v>
      </c>
      <c r="BG33" s="88">
        <f t="shared" si="16"/>
        <v>0.46399999999999997</v>
      </c>
      <c r="BH33" s="88">
        <f t="shared" si="16"/>
        <v>0</v>
      </c>
      <c r="BI33" s="88">
        <f t="shared" si="16"/>
        <v>38.128</v>
      </c>
      <c r="BJ33" s="88">
        <f t="shared" si="16"/>
        <v>0</v>
      </c>
      <c r="BK33" s="88">
        <f t="shared" si="16"/>
        <v>1.367</v>
      </c>
      <c r="BL33" s="88">
        <f t="shared" si="16"/>
        <v>0</v>
      </c>
      <c r="BM33" s="88">
        <f t="shared" si="16"/>
        <v>0</v>
      </c>
      <c r="BN33" s="88">
        <f t="shared" si="16"/>
        <v>0.20809931100000001</v>
      </c>
      <c r="BO33" s="88">
        <f t="shared" si="16"/>
        <v>0.12615300000000002</v>
      </c>
      <c r="BP33" s="88">
        <f t="shared" si="16"/>
        <v>0.22934615400000002</v>
      </c>
      <c r="BQ33" s="88">
        <f t="shared" si="16"/>
        <v>0</v>
      </c>
      <c r="BR33" s="88">
        <f t="shared" si="16"/>
        <v>0</v>
      </c>
      <c r="BS33" s="88">
        <f t="shared" si="16"/>
        <v>0</v>
      </c>
      <c r="BT33" s="88">
        <f t="shared" si="16"/>
        <v>0</v>
      </c>
      <c r="BU33" s="88">
        <f t="shared" ref="BU33:BZ33" si="17">BU24*0.041868</f>
        <v>0</v>
      </c>
      <c r="BV33" s="88">
        <f t="shared" si="17"/>
        <v>0</v>
      </c>
      <c r="BW33" s="88">
        <f t="shared" si="17"/>
        <v>0</v>
      </c>
      <c r="BX33" s="88" t="e">
        <f t="shared" si="17"/>
        <v>#VALUE!</v>
      </c>
      <c r="BY33" s="88">
        <f t="shared" si="17"/>
        <v>109.44</v>
      </c>
      <c r="BZ33" s="88">
        <f t="shared" si="17"/>
        <v>162.47520000000003</v>
      </c>
    </row>
    <row r="34" spans="1:78" x14ac:dyDescent="0.25">
      <c r="A34" s="78" t="s">
        <v>224</v>
      </c>
      <c r="B34" s="79" t="s">
        <v>218</v>
      </c>
      <c r="C34" s="80" t="s">
        <v>219</v>
      </c>
      <c r="D34" s="80"/>
      <c r="E34" s="80"/>
      <c r="F34" s="80"/>
      <c r="G34" s="81"/>
      <c r="H34" s="82" t="s">
        <v>220</v>
      </c>
      <c r="I34" s="88">
        <f t="shared" ref="I34:AN34" si="18">I25*0.041868</f>
        <v>17.690495199999997</v>
      </c>
      <c r="J34" s="92">
        <f t="shared" si="18"/>
        <v>0</v>
      </c>
      <c r="K34" s="88">
        <f t="shared" si="18"/>
        <v>0</v>
      </c>
      <c r="L34" s="88">
        <f t="shared" si="18"/>
        <v>0</v>
      </c>
      <c r="M34" s="88">
        <f t="shared" si="18"/>
        <v>0</v>
      </c>
      <c r="N34" s="88">
        <f t="shared" si="18"/>
        <v>0</v>
      </c>
      <c r="O34" s="88">
        <f t="shared" si="18"/>
        <v>0</v>
      </c>
      <c r="P34" s="88">
        <f t="shared" si="18"/>
        <v>0</v>
      </c>
      <c r="Q34" s="88">
        <f t="shared" si="18"/>
        <v>0</v>
      </c>
      <c r="R34" s="88">
        <f t="shared" si="18"/>
        <v>0</v>
      </c>
      <c r="S34" s="88">
        <f t="shared" si="18"/>
        <v>0</v>
      </c>
      <c r="T34" s="88">
        <f t="shared" si="18"/>
        <v>0</v>
      </c>
      <c r="U34" s="88">
        <f t="shared" si="18"/>
        <v>0</v>
      </c>
      <c r="V34" s="88">
        <f t="shared" si="18"/>
        <v>0</v>
      </c>
      <c r="W34" s="88">
        <f t="shared" si="18"/>
        <v>0</v>
      </c>
      <c r="X34" s="88">
        <f t="shared" si="18"/>
        <v>0</v>
      </c>
      <c r="Y34" s="88">
        <f t="shared" si="18"/>
        <v>0</v>
      </c>
      <c r="Z34" s="88">
        <f t="shared" si="18"/>
        <v>0</v>
      </c>
      <c r="AA34" s="88">
        <f t="shared" si="18"/>
        <v>0</v>
      </c>
      <c r="AB34" s="88">
        <f t="shared" si="18"/>
        <v>0</v>
      </c>
      <c r="AC34" s="88">
        <f t="shared" si="18"/>
        <v>0</v>
      </c>
      <c r="AD34" s="92">
        <f t="shared" si="18"/>
        <v>0.15710199999999999</v>
      </c>
      <c r="AE34" s="88">
        <f t="shared" si="18"/>
        <v>0</v>
      </c>
      <c r="AF34" s="88">
        <f t="shared" si="18"/>
        <v>0</v>
      </c>
      <c r="AG34" s="88" t="e">
        <f t="shared" si="18"/>
        <v>#VALUE!</v>
      </c>
      <c r="AH34" s="88" t="e">
        <f t="shared" si="18"/>
        <v>#VALUE!</v>
      </c>
      <c r="AI34" s="88" t="e">
        <f t="shared" si="18"/>
        <v>#VALUE!</v>
      </c>
      <c r="AJ34" s="88">
        <f t="shared" si="18"/>
        <v>0</v>
      </c>
      <c r="AK34" s="88">
        <f t="shared" si="18"/>
        <v>0</v>
      </c>
      <c r="AL34" s="88">
        <f t="shared" si="18"/>
        <v>6.5001000000000003E-2</v>
      </c>
      <c r="AM34" s="88">
        <f t="shared" si="18"/>
        <v>0</v>
      </c>
      <c r="AN34" s="88">
        <f t="shared" si="18"/>
        <v>0</v>
      </c>
      <c r="AO34" s="88">
        <f t="shared" ref="AO34:BT34" si="19">AO25*0.041868</f>
        <v>0</v>
      </c>
      <c r="AP34" s="88">
        <f t="shared" si="19"/>
        <v>0</v>
      </c>
      <c r="AQ34" s="88">
        <f t="shared" si="19"/>
        <v>0</v>
      </c>
      <c r="AR34" s="88">
        <f t="shared" si="19"/>
        <v>0</v>
      </c>
      <c r="AS34" s="88">
        <f t="shared" si="19"/>
        <v>9.0687000000000004E-2</v>
      </c>
      <c r="AT34" s="88">
        <f t="shared" si="19"/>
        <v>1.4140000000000001E-3</v>
      </c>
      <c r="AU34" s="88">
        <f t="shared" si="19"/>
        <v>0</v>
      </c>
      <c r="AV34" s="88">
        <f t="shared" si="19"/>
        <v>0</v>
      </c>
      <c r="AW34" s="88">
        <f t="shared" si="19"/>
        <v>0</v>
      </c>
      <c r="AX34" s="88">
        <f t="shared" si="19"/>
        <v>0</v>
      </c>
      <c r="AY34" s="88">
        <f t="shared" si="19"/>
        <v>0</v>
      </c>
      <c r="AZ34" s="88">
        <f t="shared" si="19"/>
        <v>0</v>
      </c>
      <c r="BA34" s="92">
        <f t="shared" si="19"/>
        <v>0</v>
      </c>
      <c r="BB34" s="88">
        <f t="shared" si="19"/>
        <v>0.505</v>
      </c>
      <c r="BC34" s="88" t="e">
        <f t="shared" si="19"/>
        <v>#VALUE!</v>
      </c>
      <c r="BD34" s="88" t="e">
        <f t="shared" si="19"/>
        <v>#VALUE!</v>
      </c>
      <c r="BE34" s="88" t="e">
        <f t="shared" si="19"/>
        <v>#VALUE!</v>
      </c>
      <c r="BF34" s="88" t="e">
        <f t="shared" si="19"/>
        <v>#VALUE!</v>
      </c>
      <c r="BG34" s="88">
        <f t="shared" si="19"/>
        <v>0</v>
      </c>
      <c r="BH34" s="88">
        <f t="shared" si="19"/>
        <v>0.505</v>
      </c>
      <c r="BI34" s="88">
        <f t="shared" si="19"/>
        <v>0</v>
      </c>
      <c r="BJ34" s="88">
        <f t="shared" si="19"/>
        <v>0</v>
      </c>
      <c r="BK34" s="88">
        <f t="shared" si="19"/>
        <v>0</v>
      </c>
      <c r="BL34" s="88">
        <f t="shared" si="19"/>
        <v>0</v>
      </c>
      <c r="BM34" s="88">
        <f t="shared" si="19"/>
        <v>0</v>
      </c>
      <c r="BN34" s="88">
        <f t="shared" si="19"/>
        <v>0</v>
      </c>
      <c r="BO34" s="88">
        <f t="shared" si="19"/>
        <v>0</v>
      </c>
      <c r="BP34" s="88">
        <f t="shared" si="19"/>
        <v>0</v>
      </c>
      <c r="BQ34" s="88">
        <f t="shared" si="19"/>
        <v>0</v>
      </c>
      <c r="BR34" s="88">
        <f t="shared" si="19"/>
        <v>0</v>
      </c>
      <c r="BS34" s="88">
        <f t="shared" si="19"/>
        <v>0</v>
      </c>
      <c r="BT34" s="88">
        <f t="shared" si="19"/>
        <v>0</v>
      </c>
      <c r="BU34" s="88">
        <f t="shared" ref="BU34:BZ34" si="20">BU25*0.041868</f>
        <v>0</v>
      </c>
      <c r="BV34" s="88">
        <f t="shared" si="20"/>
        <v>0</v>
      </c>
      <c r="BW34" s="88">
        <f t="shared" si="20"/>
        <v>0</v>
      </c>
      <c r="BX34" s="88" t="e">
        <f t="shared" si="20"/>
        <v>#VALUE!</v>
      </c>
      <c r="BY34" s="88">
        <f t="shared" si="20"/>
        <v>14.109883999999999</v>
      </c>
      <c r="BZ34" s="88">
        <f t="shared" si="20"/>
        <v>2.9185091999999999</v>
      </c>
    </row>
    <row r="35" spans="1:78" x14ac:dyDescent="0.25">
      <c r="A35" s="78" t="s">
        <v>225</v>
      </c>
      <c r="B35" s="79" t="s">
        <v>218</v>
      </c>
      <c r="C35" s="80" t="s">
        <v>219</v>
      </c>
      <c r="D35" s="80"/>
      <c r="E35" s="80"/>
      <c r="F35" s="80"/>
      <c r="G35" s="81"/>
      <c r="H35" s="82" t="s">
        <v>220</v>
      </c>
      <c r="I35" s="88">
        <f t="shared" ref="I35:AN35" si="21">I26*0.041868</f>
        <v>190.99449999999999</v>
      </c>
      <c r="J35" s="92">
        <f t="shared" si="21"/>
        <v>0</v>
      </c>
      <c r="K35" s="88">
        <f t="shared" si="21"/>
        <v>0</v>
      </c>
      <c r="L35" s="88">
        <f t="shared" si="21"/>
        <v>0</v>
      </c>
      <c r="M35" s="88">
        <f t="shared" si="21"/>
        <v>0</v>
      </c>
      <c r="N35" s="88">
        <f t="shared" si="21"/>
        <v>0</v>
      </c>
      <c r="O35" s="88">
        <f t="shared" si="21"/>
        <v>0</v>
      </c>
      <c r="P35" s="88">
        <f t="shared" si="21"/>
        <v>0</v>
      </c>
      <c r="Q35" s="88">
        <f t="shared" si="21"/>
        <v>0</v>
      </c>
      <c r="R35" s="88">
        <f t="shared" si="21"/>
        <v>0</v>
      </c>
      <c r="S35" s="88">
        <f t="shared" si="21"/>
        <v>0</v>
      </c>
      <c r="T35" s="88">
        <f t="shared" si="21"/>
        <v>0</v>
      </c>
      <c r="U35" s="88">
        <f t="shared" si="21"/>
        <v>0</v>
      </c>
      <c r="V35" s="88">
        <f t="shared" si="21"/>
        <v>0</v>
      </c>
      <c r="W35" s="88">
        <f t="shared" si="21"/>
        <v>0</v>
      </c>
      <c r="X35" s="88">
        <f t="shared" si="21"/>
        <v>0</v>
      </c>
      <c r="Y35" s="88">
        <f t="shared" si="21"/>
        <v>0</v>
      </c>
      <c r="Z35" s="88">
        <f t="shared" si="21"/>
        <v>0</v>
      </c>
      <c r="AA35" s="88">
        <f t="shared" si="21"/>
        <v>0</v>
      </c>
      <c r="AB35" s="88">
        <f t="shared" si="21"/>
        <v>0</v>
      </c>
      <c r="AC35" s="88">
        <f t="shared" si="21"/>
        <v>0</v>
      </c>
      <c r="AD35" s="92">
        <f t="shared" si="21"/>
        <v>2.7302999999999997</v>
      </c>
      <c r="AE35" s="88">
        <f t="shared" si="21"/>
        <v>0</v>
      </c>
      <c r="AF35" s="88">
        <f t="shared" si="21"/>
        <v>0</v>
      </c>
      <c r="AG35" s="88" t="e">
        <f t="shared" si="21"/>
        <v>#VALUE!</v>
      </c>
      <c r="AH35" s="88" t="e">
        <f t="shared" si="21"/>
        <v>#VALUE!</v>
      </c>
      <c r="AI35" s="88" t="e">
        <f t="shared" si="21"/>
        <v>#VALUE!</v>
      </c>
      <c r="AJ35" s="88">
        <f t="shared" si="21"/>
        <v>0</v>
      </c>
      <c r="AK35" s="88">
        <f t="shared" si="21"/>
        <v>0</v>
      </c>
      <c r="AL35" s="88">
        <f t="shared" si="21"/>
        <v>0.23049999999999998</v>
      </c>
      <c r="AM35" s="88">
        <f t="shared" si="21"/>
        <v>0</v>
      </c>
      <c r="AN35" s="88">
        <f t="shared" si="21"/>
        <v>0</v>
      </c>
      <c r="AO35" s="88">
        <f t="shared" ref="AO35:BT35" si="22">AO26*0.041868</f>
        <v>0</v>
      </c>
      <c r="AP35" s="88">
        <f t="shared" si="22"/>
        <v>0</v>
      </c>
      <c r="AQ35" s="88">
        <f t="shared" si="22"/>
        <v>0.43099999999999999</v>
      </c>
      <c r="AR35" s="88">
        <f t="shared" si="22"/>
        <v>0</v>
      </c>
      <c r="AS35" s="88">
        <f t="shared" si="22"/>
        <v>2.0688</v>
      </c>
      <c r="AT35" s="88">
        <f t="shared" si="22"/>
        <v>0</v>
      </c>
      <c r="AU35" s="88">
        <f t="shared" si="22"/>
        <v>0</v>
      </c>
      <c r="AV35" s="88">
        <f t="shared" si="22"/>
        <v>0</v>
      </c>
      <c r="AW35" s="88">
        <f t="shared" si="22"/>
        <v>0</v>
      </c>
      <c r="AX35" s="88">
        <f t="shared" si="22"/>
        <v>0</v>
      </c>
      <c r="AY35" s="88">
        <f t="shared" si="22"/>
        <v>0</v>
      </c>
      <c r="AZ35" s="88">
        <f t="shared" si="22"/>
        <v>0</v>
      </c>
      <c r="BA35" s="92">
        <f t="shared" si="22"/>
        <v>0.32219999999999999</v>
      </c>
      <c r="BB35" s="88">
        <f t="shared" si="22"/>
        <v>40.446000000000005</v>
      </c>
      <c r="BC35" s="88" t="e">
        <f t="shared" si="22"/>
        <v>#VALUE!</v>
      </c>
      <c r="BD35" s="88" t="e">
        <f t="shared" si="22"/>
        <v>#VALUE!</v>
      </c>
      <c r="BE35" s="88" t="e">
        <f t="shared" si="22"/>
        <v>#VALUE!</v>
      </c>
      <c r="BF35" s="88" t="e">
        <f t="shared" si="22"/>
        <v>#VALUE!</v>
      </c>
      <c r="BG35" s="88">
        <f t="shared" si="22"/>
        <v>0</v>
      </c>
      <c r="BH35" s="88">
        <f t="shared" si="22"/>
        <v>0</v>
      </c>
      <c r="BI35" s="88">
        <f t="shared" si="22"/>
        <v>20.990000000000002</v>
      </c>
      <c r="BJ35" s="88">
        <f t="shared" si="22"/>
        <v>0</v>
      </c>
      <c r="BK35" s="88">
        <f t="shared" si="22"/>
        <v>0</v>
      </c>
      <c r="BL35" s="88">
        <f t="shared" si="22"/>
        <v>0</v>
      </c>
      <c r="BM35" s="88">
        <f t="shared" si="22"/>
        <v>0</v>
      </c>
      <c r="BN35" s="88">
        <f t="shared" si="22"/>
        <v>0</v>
      </c>
      <c r="BO35" s="88">
        <f t="shared" si="22"/>
        <v>0</v>
      </c>
      <c r="BP35" s="88">
        <f t="shared" si="22"/>
        <v>0</v>
      </c>
      <c r="BQ35" s="88">
        <f t="shared" si="22"/>
        <v>0</v>
      </c>
      <c r="BR35" s="88">
        <f t="shared" si="22"/>
        <v>0</v>
      </c>
      <c r="BS35" s="88">
        <f t="shared" si="22"/>
        <v>0</v>
      </c>
      <c r="BT35" s="88">
        <f t="shared" si="22"/>
        <v>19.456</v>
      </c>
      <c r="BU35" s="88">
        <f t="shared" ref="BU35:BZ35" si="23">BU26*0.041868</f>
        <v>0</v>
      </c>
      <c r="BV35" s="88">
        <f t="shared" si="23"/>
        <v>0</v>
      </c>
      <c r="BW35" s="88">
        <f t="shared" si="23"/>
        <v>0</v>
      </c>
      <c r="BX35" s="88" t="e">
        <f t="shared" si="23"/>
        <v>#VALUE!</v>
      </c>
      <c r="BY35" s="88">
        <f t="shared" si="23"/>
        <v>4.5759999999999996</v>
      </c>
      <c r="BZ35" s="88">
        <f t="shared" si="23"/>
        <v>142.91999999999999</v>
      </c>
    </row>
    <row r="36" spans="1:78" x14ac:dyDescent="0.25">
      <c r="I36" s="95">
        <f>SUM(I31:I35)</f>
        <v>964.91045705100009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1C48EC00036E44854C2B60720290C7" ma:contentTypeVersion="" ma:contentTypeDescription="Opret et nyt dokument." ma:contentTypeScope="" ma:versionID="61b4f4915b90352af5d6cb9e7fe05457">
  <xsd:schema xmlns:xsd="http://www.w3.org/2001/XMLSchema" xmlns:xs="http://www.w3.org/2001/XMLSchema" xmlns:p="http://schemas.microsoft.com/office/2006/metadata/properties" xmlns:ns2="b1f11491-8d8b-4ad3-bca6-57519569f994" targetNamespace="http://schemas.microsoft.com/office/2006/metadata/properties" ma:root="true" ma:fieldsID="c031eaacdec4615bc6ff4d52d64c0b9f" ns2:_="">
    <xsd:import namespace="b1f11491-8d8b-4ad3-bca6-57519569f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f11491-8d8b-4ad3-bca6-57519569f9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B92B2D-B66D-411B-8FAB-45770C585335}">
  <ds:schemaRefs>
    <ds:schemaRef ds:uri="http://purl.org/dc/elements/1.1/"/>
    <ds:schemaRef ds:uri="b1f11491-8d8b-4ad3-bca6-57519569f994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FB54A26-A890-4BB8-A3D0-1A5E487346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860BC8-3E2B-4BCA-8DE6-04B3336C3D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f11491-8d8b-4ad3-bca6-57519569f9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Source overview</vt:lpstr>
      <vt:lpstr>FIG 06.1</vt:lpstr>
      <vt:lpstr>Fig 06.2</vt:lpstr>
      <vt:lpstr>FIG 06.3 FIG 06.4</vt:lpstr>
      <vt:lpstr>FIG 06.5</vt:lpstr>
      <vt:lpstr>2017-2018 ENERGY BALANCE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Brunak</dc:creator>
  <cp:lastModifiedBy>Andrea Pasquali</cp:lastModifiedBy>
  <dcterms:created xsi:type="dcterms:W3CDTF">2019-07-11T11:29:24Z</dcterms:created>
  <dcterms:modified xsi:type="dcterms:W3CDTF">2020-03-26T09:29:11Z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0x0101006B1C48EC00036E44854C2B60720290C7</vt:lpwstr>
  </property>
</Properties>
</file>